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filterPrivacy="1" defaultThemeVersion="164011"/>
  <bookViews>
    <workbookView xWindow="0" yWindow="0" windowWidth="28800" windowHeight="12405" tabRatio="511"/>
  </bookViews>
  <sheets>
    <sheet name="Analiza finansowa" sheetId="1" r:id="rId1"/>
    <sheet name="Analiza ekonomiczna" sheetId="2" r:id="rId2"/>
    <sheet name="Analiza wrażliwości" sheetId="3" r:id="rId3"/>
  </sheets>
  <definedNames>
    <definedName name="amortyzacja">'Analiza finansowa'!$C$6</definedName>
    <definedName name="sd_ae">'Analiza finansowa'!$C$5</definedName>
    <definedName name="sd_af">'Analiza finansowa'!$C$4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1" i="1" l="1"/>
  <c r="AA46" i="2" l="1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11" i="3" l="1"/>
  <c r="D19" i="3"/>
  <c r="D15" i="3"/>
  <c r="D36" i="3"/>
  <c r="D13" i="3"/>
  <c r="D17" i="3"/>
  <c r="D38" i="3"/>
  <c r="D21" i="3"/>
  <c r="D34" i="3"/>
  <c r="D32" i="3"/>
  <c r="D51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C37" i="3"/>
  <c r="F124" i="1"/>
  <c r="E29" i="2" s="1"/>
  <c r="C131" i="1"/>
  <c r="J196" i="1" s="1"/>
  <c r="C421" i="1"/>
  <c r="C20" i="3"/>
  <c r="C16" i="3"/>
  <c r="E22" i="2"/>
  <c r="E23" i="2"/>
  <c r="E58" i="2" s="1"/>
  <c r="D52" i="2"/>
  <c r="D53" i="2"/>
  <c r="E53" i="2"/>
  <c r="D54" i="2"/>
  <c r="E54" i="2"/>
  <c r="D57" i="2"/>
  <c r="D58" i="2"/>
  <c r="C58" i="2"/>
  <c r="C57" i="2"/>
  <c r="B58" i="2"/>
  <c r="B57" i="2"/>
  <c r="B56" i="2"/>
  <c r="C54" i="2"/>
  <c r="C53" i="2"/>
  <c r="C52" i="2"/>
  <c r="C51" i="2" s="1"/>
  <c r="B54" i="2"/>
  <c r="B53" i="2"/>
  <c r="B52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F31" i="2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A54" i="2" s="1"/>
  <c r="F30" i="2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A53" i="2" s="1"/>
  <c r="E57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C20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F21" i="2" s="1"/>
  <c r="E7" i="2"/>
  <c r="E21" i="2" s="1"/>
  <c r="E56" i="2" s="1"/>
  <c r="D7" i="2"/>
  <c r="D21" i="2" s="1"/>
  <c r="D56" i="2" s="1"/>
  <c r="C7" i="2"/>
  <c r="C21" i="2" s="1"/>
  <c r="C56" i="2" s="1"/>
  <c r="C55" i="2" s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C456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E420" i="1"/>
  <c r="E453" i="1" s="1"/>
  <c r="F420" i="1"/>
  <c r="F453" i="1" s="1"/>
  <c r="G420" i="1"/>
  <c r="G453" i="1" s="1"/>
  <c r="H420" i="1"/>
  <c r="H453" i="1" s="1"/>
  <c r="I420" i="1"/>
  <c r="I453" i="1" s="1"/>
  <c r="J420" i="1"/>
  <c r="J453" i="1" s="1"/>
  <c r="K420" i="1"/>
  <c r="K453" i="1" s="1"/>
  <c r="L420" i="1"/>
  <c r="L453" i="1" s="1"/>
  <c r="M420" i="1"/>
  <c r="M453" i="1" s="1"/>
  <c r="N420" i="1"/>
  <c r="N453" i="1" s="1"/>
  <c r="O420" i="1"/>
  <c r="O453" i="1" s="1"/>
  <c r="P420" i="1"/>
  <c r="P453" i="1" s="1"/>
  <c r="Q420" i="1"/>
  <c r="Q453" i="1" s="1"/>
  <c r="R420" i="1"/>
  <c r="R453" i="1" s="1"/>
  <c r="S420" i="1"/>
  <c r="S453" i="1" s="1"/>
  <c r="T420" i="1"/>
  <c r="T453" i="1" s="1"/>
  <c r="U420" i="1"/>
  <c r="U453" i="1" s="1"/>
  <c r="V420" i="1"/>
  <c r="V453" i="1" s="1"/>
  <c r="W420" i="1"/>
  <c r="W453" i="1" s="1"/>
  <c r="X420" i="1"/>
  <c r="X453" i="1" s="1"/>
  <c r="Y420" i="1"/>
  <c r="Y453" i="1" s="1"/>
  <c r="Z420" i="1"/>
  <c r="Z453" i="1" s="1"/>
  <c r="AA420" i="1"/>
  <c r="AA453" i="1" s="1"/>
  <c r="D422" i="1"/>
  <c r="D439" i="1" s="1"/>
  <c r="E422" i="1"/>
  <c r="E439" i="1" s="1"/>
  <c r="F422" i="1"/>
  <c r="F439" i="1" s="1"/>
  <c r="G422" i="1"/>
  <c r="G439" i="1" s="1"/>
  <c r="H422" i="1"/>
  <c r="H439" i="1" s="1"/>
  <c r="C422" i="1"/>
  <c r="C439" i="1" s="1"/>
  <c r="K196" i="1" l="1"/>
  <c r="L196" i="1" s="1"/>
  <c r="M196" i="1" s="1"/>
  <c r="N196" i="1" s="1"/>
  <c r="O196" i="1" s="1"/>
  <c r="P196" i="1" s="1"/>
  <c r="Q196" i="1" s="1"/>
  <c r="R196" i="1" s="1"/>
  <c r="S196" i="1" s="1"/>
  <c r="T196" i="1" s="1"/>
  <c r="U196" i="1" s="1"/>
  <c r="V196" i="1" s="1"/>
  <c r="W196" i="1" s="1"/>
  <c r="X196" i="1" s="1"/>
  <c r="Y196" i="1" s="1"/>
  <c r="Z196" i="1" s="1"/>
  <c r="AA196" i="1" s="1"/>
  <c r="T53" i="2"/>
  <c r="H54" i="2"/>
  <c r="P53" i="2"/>
  <c r="T54" i="2"/>
  <c r="X54" i="2"/>
  <c r="E48" i="2"/>
  <c r="P54" i="2"/>
  <c r="L53" i="2"/>
  <c r="L54" i="2"/>
  <c r="X53" i="2"/>
  <c r="H53" i="2"/>
  <c r="G21" i="2"/>
  <c r="F56" i="2"/>
  <c r="E49" i="2"/>
  <c r="W54" i="2"/>
  <c r="S54" i="2"/>
  <c r="O54" i="2"/>
  <c r="K54" i="2"/>
  <c r="G54" i="2"/>
  <c r="W53" i="2"/>
  <c r="S53" i="2"/>
  <c r="O53" i="2"/>
  <c r="K53" i="2"/>
  <c r="G53" i="2"/>
  <c r="Z54" i="2"/>
  <c r="V54" i="2"/>
  <c r="R54" i="2"/>
  <c r="N54" i="2"/>
  <c r="J54" i="2"/>
  <c r="F54" i="2"/>
  <c r="Z53" i="2"/>
  <c r="V53" i="2"/>
  <c r="R53" i="2"/>
  <c r="N53" i="2"/>
  <c r="J53" i="2"/>
  <c r="F53" i="2"/>
  <c r="F23" i="2"/>
  <c r="F22" i="2"/>
  <c r="Y54" i="2"/>
  <c r="U54" i="2"/>
  <c r="Q54" i="2"/>
  <c r="M54" i="2"/>
  <c r="I54" i="2"/>
  <c r="Y53" i="2"/>
  <c r="U53" i="2"/>
  <c r="Q53" i="2"/>
  <c r="M53" i="2"/>
  <c r="I53" i="2"/>
  <c r="E45" i="2" l="1"/>
  <c r="G22" i="2"/>
  <c r="F57" i="2"/>
  <c r="F48" i="2"/>
  <c r="G56" i="2"/>
  <c r="H21" i="2"/>
  <c r="F58" i="2"/>
  <c r="F49" i="2"/>
  <c r="G23" i="2"/>
  <c r="F45" i="2" l="1"/>
  <c r="H22" i="2"/>
  <c r="G57" i="2"/>
  <c r="G48" i="2"/>
  <c r="H56" i="2"/>
  <c r="I21" i="2"/>
  <c r="H23" i="2"/>
  <c r="G49" i="2"/>
  <c r="G58" i="2"/>
  <c r="G45" i="2" l="1"/>
  <c r="I23" i="2"/>
  <c r="H49" i="2"/>
  <c r="H58" i="2"/>
  <c r="J21" i="2"/>
  <c r="I56" i="2"/>
  <c r="I22" i="2"/>
  <c r="H57" i="2"/>
  <c r="H48" i="2"/>
  <c r="H45" i="2" l="1"/>
  <c r="I57" i="2"/>
  <c r="I48" i="2"/>
  <c r="J22" i="2"/>
  <c r="K21" i="2"/>
  <c r="J56" i="2"/>
  <c r="J23" i="2"/>
  <c r="I58" i="2"/>
  <c r="I49" i="2"/>
  <c r="I45" i="2" l="1"/>
  <c r="K22" i="2"/>
  <c r="J57" i="2"/>
  <c r="J48" i="2"/>
  <c r="K23" i="2"/>
  <c r="J58" i="2"/>
  <c r="J49" i="2"/>
  <c r="L21" i="2"/>
  <c r="K56" i="2"/>
  <c r="J45" i="2" l="1"/>
  <c r="M21" i="2"/>
  <c r="L56" i="2"/>
  <c r="L23" i="2"/>
  <c r="K49" i="2"/>
  <c r="K58" i="2"/>
  <c r="L22" i="2"/>
  <c r="K57" i="2"/>
  <c r="K48" i="2"/>
  <c r="M23" i="2" l="1"/>
  <c r="L49" i="2"/>
  <c r="L58" i="2"/>
  <c r="M22" i="2"/>
  <c r="L57" i="2"/>
  <c r="L48" i="2"/>
  <c r="K45" i="2"/>
  <c r="N21" i="2"/>
  <c r="M56" i="2"/>
  <c r="L45" i="2" l="1"/>
  <c r="O21" i="2"/>
  <c r="N56" i="2"/>
  <c r="N22" i="2"/>
  <c r="M57" i="2"/>
  <c r="M48" i="2"/>
  <c r="N23" i="2"/>
  <c r="M58" i="2"/>
  <c r="M49" i="2"/>
  <c r="M45" i="2" l="1"/>
  <c r="O22" i="2"/>
  <c r="N57" i="2"/>
  <c r="N48" i="2"/>
  <c r="O23" i="2"/>
  <c r="N58" i="2"/>
  <c r="N49" i="2"/>
  <c r="P21" i="2"/>
  <c r="O56" i="2"/>
  <c r="N45" i="2" l="1"/>
  <c r="Q21" i="2"/>
  <c r="P56" i="2"/>
  <c r="P23" i="2"/>
  <c r="O49" i="2"/>
  <c r="O58" i="2"/>
  <c r="P22" i="2"/>
  <c r="O57" i="2"/>
  <c r="O48" i="2"/>
  <c r="Q22" i="2" l="1"/>
  <c r="P57" i="2"/>
  <c r="P48" i="2"/>
  <c r="Q23" i="2"/>
  <c r="P49" i="2"/>
  <c r="P58" i="2"/>
  <c r="O45" i="2"/>
  <c r="R21" i="2"/>
  <c r="Q56" i="2"/>
  <c r="P45" i="2" l="1"/>
  <c r="R23" i="2"/>
  <c r="Q58" i="2"/>
  <c r="Q49" i="2"/>
  <c r="S21" i="2"/>
  <c r="R56" i="2"/>
  <c r="R22" i="2"/>
  <c r="Q57" i="2"/>
  <c r="Q48" i="2"/>
  <c r="S22" i="2" l="1"/>
  <c r="R57" i="2"/>
  <c r="R48" i="2"/>
  <c r="Q45" i="2"/>
  <c r="T21" i="2"/>
  <c r="S56" i="2"/>
  <c r="S23" i="2"/>
  <c r="R58" i="2"/>
  <c r="R49" i="2"/>
  <c r="R45" i="2" l="1"/>
  <c r="T23" i="2"/>
  <c r="S49" i="2"/>
  <c r="S58" i="2"/>
  <c r="U21" i="2"/>
  <c r="T56" i="2"/>
  <c r="T22" i="2"/>
  <c r="S57" i="2"/>
  <c r="S48" i="2"/>
  <c r="U22" i="2" l="1"/>
  <c r="T57" i="2"/>
  <c r="T48" i="2"/>
  <c r="U23" i="2"/>
  <c r="T49" i="2"/>
  <c r="T58" i="2"/>
  <c r="S45" i="2"/>
  <c r="V21" i="2"/>
  <c r="U56" i="2"/>
  <c r="T45" i="2" l="1"/>
  <c r="W21" i="2"/>
  <c r="V56" i="2"/>
  <c r="V23" i="2"/>
  <c r="U58" i="2"/>
  <c r="U49" i="2"/>
  <c r="V22" i="2"/>
  <c r="U57" i="2"/>
  <c r="U48" i="2"/>
  <c r="W23" i="2" l="1"/>
  <c r="V58" i="2"/>
  <c r="V49" i="2"/>
  <c r="X21" i="2"/>
  <c r="W56" i="2"/>
  <c r="W22" i="2"/>
  <c r="V57" i="2"/>
  <c r="V48" i="2"/>
  <c r="U45" i="2"/>
  <c r="V45" i="2" l="1"/>
  <c r="Y21" i="2"/>
  <c r="X56" i="2"/>
  <c r="X22" i="2"/>
  <c r="W57" i="2"/>
  <c r="W48" i="2"/>
  <c r="X23" i="2"/>
  <c r="W49" i="2"/>
  <c r="W58" i="2"/>
  <c r="Y23" i="2" l="1"/>
  <c r="X49" i="2"/>
  <c r="X58" i="2"/>
  <c r="Y22" i="2"/>
  <c r="X57" i="2"/>
  <c r="X48" i="2"/>
  <c r="X45" i="2" s="1"/>
  <c r="W45" i="2"/>
  <c r="Z21" i="2"/>
  <c r="Y56" i="2"/>
  <c r="Z22" i="2" l="1"/>
  <c r="Y57" i="2"/>
  <c r="Y48" i="2"/>
  <c r="AA21" i="2"/>
  <c r="AA56" i="2" s="1"/>
  <c r="Z56" i="2"/>
  <c r="Z23" i="2"/>
  <c r="Y58" i="2"/>
  <c r="Y49" i="2"/>
  <c r="Y45" i="2" l="1"/>
  <c r="AA23" i="2"/>
  <c r="Z58" i="2"/>
  <c r="Z49" i="2"/>
  <c r="Z57" i="2"/>
  <c r="Z48" i="2"/>
  <c r="AA22" i="2"/>
  <c r="Z45" i="2" l="1"/>
  <c r="AA57" i="2"/>
  <c r="AA48" i="2"/>
  <c r="AA49" i="2"/>
  <c r="AA58" i="2"/>
  <c r="AA45" i="2" l="1"/>
  <c r="AA393" i="1" l="1"/>
  <c r="AA389" i="1" s="1"/>
  <c r="Z393" i="1"/>
  <c r="Y393" i="1"/>
  <c r="X393" i="1"/>
  <c r="W393" i="1"/>
  <c r="V393" i="1"/>
  <c r="U393" i="1"/>
  <c r="T393" i="1"/>
  <c r="S393" i="1"/>
  <c r="R393" i="1"/>
  <c r="Q393" i="1"/>
  <c r="P393" i="1"/>
  <c r="O393" i="1"/>
  <c r="O389" i="1" s="1"/>
  <c r="N393" i="1"/>
  <c r="N389" i="1" s="1"/>
  <c r="M393" i="1"/>
  <c r="L393" i="1"/>
  <c r="K393" i="1"/>
  <c r="J393" i="1"/>
  <c r="I393" i="1"/>
  <c r="H393" i="1"/>
  <c r="G393" i="1"/>
  <c r="G389" i="1" s="1"/>
  <c r="F393" i="1"/>
  <c r="E393" i="1"/>
  <c r="AA390" i="1"/>
  <c r="Z390" i="1"/>
  <c r="Y390" i="1"/>
  <c r="Y389" i="1" s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I389" i="1"/>
  <c r="AA369" i="1"/>
  <c r="AA452" i="1" s="1"/>
  <c r="Z369" i="1"/>
  <c r="Z452" i="1" s="1"/>
  <c r="Y369" i="1"/>
  <c r="Y452" i="1" s="1"/>
  <c r="X369" i="1"/>
  <c r="X452" i="1" s="1"/>
  <c r="W369" i="1"/>
  <c r="W452" i="1" s="1"/>
  <c r="V369" i="1"/>
  <c r="V452" i="1" s="1"/>
  <c r="U369" i="1"/>
  <c r="U452" i="1" s="1"/>
  <c r="T369" i="1"/>
  <c r="T452" i="1" s="1"/>
  <c r="S369" i="1"/>
  <c r="S452" i="1" s="1"/>
  <c r="R369" i="1"/>
  <c r="R452" i="1" s="1"/>
  <c r="Q369" i="1"/>
  <c r="Q452" i="1" s="1"/>
  <c r="P369" i="1"/>
  <c r="P452" i="1" s="1"/>
  <c r="O369" i="1"/>
  <c r="O452" i="1" s="1"/>
  <c r="N369" i="1"/>
  <c r="N452" i="1" s="1"/>
  <c r="M369" i="1"/>
  <c r="M452" i="1" s="1"/>
  <c r="L369" i="1"/>
  <c r="L452" i="1" s="1"/>
  <c r="K369" i="1"/>
  <c r="K452" i="1" s="1"/>
  <c r="J369" i="1"/>
  <c r="J452" i="1" s="1"/>
  <c r="I369" i="1"/>
  <c r="I452" i="1" s="1"/>
  <c r="H369" i="1"/>
  <c r="H452" i="1" s="1"/>
  <c r="G369" i="1"/>
  <c r="G452" i="1" s="1"/>
  <c r="F369" i="1"/>
  <c r="F452" i="1" s="1"/>
  <c r="E369" i="1"/>
  <c r="E452" i="1" s="1"/>
  <c r="D369" i="1"/>
  <c r="D452" i="1" s="1"/>
  <c r="C369" i="1"/>
  <c r="C452" i="1" s="1"/>
  <c r="D343" i="1"/>
  <c r="D381" i="1" s="1"/>
  <c r="C343" i="1"/>
  <c r="C381" i="1" s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AA351" i="1"/>
  <c r="Z351" i="1"/>
  <c r="Y351" i="1"/>
  <c r="Y361" i="1" s="1"/>
  <c r="X351" i="1"/>
  <c r="W351" i="1"/>
  <c r="V351" i="1"/>
  <c r="U351" i="1"/>
  <c r="U361" i="1" s="1"/>
  <c r="T351" i="1"/>
  <c r="S351" i="1"/>
  <c r="R351" i="1"/>
  <c r="Q351" i="1"/>
  <c r="Q361" i="1" s="1"/>
  <c r="P351" i="1"/>
  <c r="O351" i="1"/>
  <c r="N351" i="1"/>
  <c r="M351" i="1"/>
  <c r="M361" i="1" s="1"/>
  <c r="L351" i="1"/>
  <c r="K351" i="1"/>
  <c r="J351" i="1"/>
  <c r="I351" i="1"/>
  <c r="I361" i="1" s="1"/>
  <c r="H351" i="1"/>
  <c r="G351" i="1"/>
  <c r="F351" i="1"/>
  <c r="E351" i="1"/>
  <c r="E361" i="1" s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AA311" i="1"/>
  <c r="AA313" i="1"/>
  <c r="AA319" i="1"/>
  <c r="Y311" i="1"/>
  <c r="Z311" i="1"/>
  <c r="Y313" i="1"/>
  <c r="Z313" i="1"/>
  <c r="Y319" i="1"/>
  <c r="Z319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D313" i="1"/>
  <c r="E313" i="1"/>
  <c r="E323" i="1" s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C319" i="1"/>
  <c r="C313" i="1"/>
  <c r="C311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AA194" i="1"/>
  <c r="C194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C226" i="1"/>
  <c r="D226" i="1" s="1"/>
  <c r="E226" i="1" s="1"/>
  <c r="F226" i="1" s="1"/>
  <c r="G226" i="1" s="1"/>
  <c r="H226" i="1" s="1"/>
  <c r="I226" i="1" s="1"/>
  <c r="J226" i="1" s="1"/>
  <c r="K226" i="1" s="1"/>
  <c r="L226" i="1" s="1"/>
  <c r="M226" i="1" s="1"/>
  <c r="N226" i="1" s="1"/>
  <c r="O226" i="1" s="1"/>
  <c r="P226" i="1" s="1"/>
  <c r="Q226" i="1" s="1"/>
  <c r="R226" i="1" s="1"/>
  <c r="S226" i="1" s="1"/>
  <c r="T226" i="1" s="1"/>
  <c r="U226" i="1" s="1"/>
  <c r="V226" i="1" s="1"/>
  <c r="W226" i="1" s="1"/>
  <c r="X226" i="1" s="1"/>
  <c r="Y226" i="1" s="1"/>
  <c r="Z226" i="1" s="1"/>
  <c r="AA226" i="1" s="1"/>
  <c r="AA256" i="1" s="1"/>
  <c r="AA286" i="1" s="1"/>
  <c r="C225" i="1"/>
  <c r="D225" i="1" s="1"/>
  <c r="E225" i="1" s="1"/>
  <c r="F225" i="1" s="1"/>
  <c r="G225" i="1" s="1"/>
  <c r="H225" i="1" s="1"/>
  <c r="I225" i="1" s="1"/>
  <c r="J225" i="1" s="1"/>
  <c r="K225" i="1" s="1"/>
  <c r="L225" i="1" s="1"/>
  <c r="M225" i="1" s="1"/>
  <c r="N225" i="1" s="1"/>
  <c r="O225" i="1" s="1"/>
  <c r="P225" i="1" s="1"/>
  <c r="Q225" i="1" s="1"/>
  <c r="R225" i="1" s="1"/>
  <c r="S225" i="1" s="1"/>
  <c r="T225" i="1" s="1"/>
  <c r="U225" i="1" s="1"/>
  <c r="V225" i="1" s="1"/>
  <c r="W225" i="1" s="1"/>
  <c r="X225" i="1" s="1"/>
  <c r="Y225" i="1" s="1"/>
  <c r="Z225" i="1" s="1"/>
  <c r="AA225" i="1" s="1"/>
  <c r="AA255" i="1" s="1"/>
  <c r="AA285" i="1" s="1"/>
  <c r="C223" i="1"/>
  <c r="D223" i="1" s="1"/>
  <c r="E223" i="1" s="1"/>
  <c r="F223" i="1" s="1"/>
  <c r="G223" i="1" s="1"/>
  <c r="H223" i="1" s="1"/>
  <c r="I223" i="1" s="1"/>
  <c r="J223" i="1" s="1"/>
  <c r="K223" i="1" s="1"/>
  <c r="L223" i="1" s="1"/>
  <c r="M223" i="1" s="1"/>
  <c r="N223" i="1" s="1"/>
  <c r="O223" i="1" s="1"/>
  <c r="P223" i="1" s="1"/>
  <c r="Q223" i="1" s="1"/>
  <c r="R223" i="1" s="1"/>
  <c r="S223" i="1" s="1"/>
  <c r="T223" i="1" s="1"/>
  <c r="U223" i="1" s="1"/>
  <c r="V223" i="1" s="1"/>
  <c r="W223" i="1" s="1"/>
  <c r="X223" i="1" s="1"/>
  <c r="Y223" i="1" s="1"/>
  <c r="Z223" i="1" s="1"/>
  <c r="AA223" i="1" s="1"/>
  <c r="AA253" i="1" s="1"/>
  <c r="AA283" i="1" s="1"/>
  <c r="C221" i="1"/>
  <c r="D221" i="1" s="1"/>
  <c r="E221" i="1" s="1"/>
  <c r="F221" i="1" s="1"/>
  <c r="G221" i="1" s="1"/>
  <c r="H221" i="1" s="1"/>
  <c r="I221" i="1" s="1"/>
  <c r="J221" i="1" s="1"/>
  <c r="K221" i="1" s="1"/>
  <c r="L221" i="1" s="1"/>
  <c r="M221" i="1" s="1"/>
  <c r="N221" i="1" s="1"/>
  <c r="O221" i="1" s="1"/>
  <c r="P221" i="1" s="1"/>
  <c r="Q221" i="1" s="1"/>
  <c r="R221" i="1" s="1"/>
  <c r="S221" i="1" s="1"/>
  <c r="T221" i="1" s="1"/>
  <c r="U221" i="1" s="1"/>
  <c r="V221" i="1" s="1"/>
  <c r="W221" i="1" s="1"/>
  <c r="X221" i="1" s="1"/>
  <c r="Y221" i="1" s="1"/>
  <c r="Z221" i="1" s="1"/>
  <c r="AA221" i="1" s="1"/>
  <c r="AA251" i="1" s="1"/>
  <c r="AA281" i="1" s="1"/>
  <c r="C220" i="1"/>
  <c r="D220" i="1" s="1"/>
  <c r="E220" i="1" s="1"/>
  <c r="F220" i="1" s="1"/>
  <c r="G220" i="1" s="1"/>
  <c r="H220" i="1" s="1"/>
  <c r="I220" i="1" s="1"/>
  <c r="J220" i="1" s="1"/>
  <c r="K220" i="1" s="1"/>
  <c r="L220" i="1" s="1"/>
  <c r="M220" i="1" s="1"/>
  <c r="N220" i="1" s="1"/>
  <c r="O220" i="1" s="1"/>
  <c r="P220" i="1" s="1"/>
  <c r="Q220" i="1" s="1"/>
  <c r="R220" i="1" s="1"/>
  <c r="S220" i="1" s="1"/>
  <c r="T220" i="1" s="1"/>
  <c r="U220" i="1" s="1"/>
  <c r="V220" i="1" s="1"/>
  <c r="W220" i="1" s="1"/>
  <c r="X220" i="1" s="1"/>
  <c r="Y220" i="1" s="1"/>
  <c r="Z220" i="1" s="1"/>
  <c r="AA220" i="1" s="1"/>
  <c r="AA250" i="1" s="1"/>
  <c r="AA280" i="1" s="1"/>
  <c r="C218" i="1"/>
  <c r="D218" i="1" s="1"/>
  <c r="C217" i="1"/>
  <c r="D217" i="1" s="1"/>
  <c r="C216" i="1"/>
  <c r="D216" i="1" s="1"/>
  <c r="C215" i="1"/>
  <c r="D215" i="1" s="1"/>
  <c r="C212" i="1"/>
  <c r="D212" i="1" s="1"/>
  <c r="E212" i="1" s="1"/>
  <c r="F212" i="1" s="1"/>
  <c r="G212" i="1" s="1"/>
  <c r="H212" i="1" s="1"/>
  <c r="I212" i="1" s="1"/>
  <c r="J212" i="1" s="1"/>
  <c r="K212" i="1" s="1"/>
  <c r="L212" i="1" s="1"/>
  <c r="M212" i="1" s="1"/>
  <c r="N212" i="1" s="1"/>
  <c r="O212" i="1" s="1"/>
  <c r="P212" i="1" s="1"/>
  <c r="Q212" i="1" s="1"/>
  <c r="R212" i="1" s="1"/>
  <c r="S212" i="1" s="1"/>
  <c r="T212" i="1" s="1"/>
  <c r="U212" i="1" s="1"/>
  <c r="V212" i="1" s="1"/>
  <c r="W212" i="1" s="1"/>
  <c r="X212" i="1" s="1"/>
  <c r="Y212" i="1" s="1"/>
  <c r="Z212" i="1" s="1"/>
  <c r="AA212" i="1" s="1"/>
  <c r="AA242" i="1" s="1"/>
  <c r="AA272" i="1" s="1"/>
  <c r="C211" i="1"/>
  <c r="D211" i="1" s="1"/>
  <c r="E211" i="1" s="1"/>
  <c r="F211" i="1" s="1"/>
  <c r="G211" i="1" s="1"/>
  <c r="H211" i="1" s="1"/>
  <c r="I211" i="1" s="1"/>
  <c r="J211" i="1" s="1"/>
  <c r="K211" i="1" s="1"/>
  <c r="L211" i="1" s="1"/>
  <c r="M211" i="1" s="1"/>
  <c r="N211" i="1" s="1"/>
  <c r="O211" i="1" s="1"/>
  <c r="P211" i="1" s="1"/>
  <c r="Q211" i="1" s="1"/>
  <c r="R211" i="1" s="1"/>
  <c r="S211" i="1" s="1"/>
  <c r="T211" i="1" s="1"/>
  <c r="U211" i="1" s="1"/>
  <c r="V211" i="1" s="1"/>
  <c r="W211" i="1" s="1"/>
  <c r="X211" i="1" s="1"/>
  <c r="Y211" i="1" s="1"/>
  <c r="Z211" i="1" s="1"/>
  <c r="AA211" i="1" s="1"/>
  <c r="AA241" i="1" s="1"/>
  <c r="AA271" i="1" s="1"/>
  <c r="C210" i="1"/>
  <c r="D210" i="1" s="1"/>
  <c r="E210" i="1" s="1"/>
  <c r="F210" i="1" s="1"/>
  <c r="G210" i="1" s="1"/>
  <c r="H210" i="1" s="1"/>
  <c r="I210" i="1" s="1"/>
  <c r="J210" i="1" s="1"/>
  <c r="K210" i="1" s="1"/>
  <c r="L210" i="1" s="1"/>
  <c r="M210" i="1" s="1"/>
  <c r="N210" i="1" s="1"/>
  <c r="O210" i="1" s="1"/>
  <c r="P210" i="1" s="1"/>
  <c r="Q210" i="1" s="1"/>
  <c r="R210" i="1" s="1"/>
  <c r="S210" i="1" s="1"/>
  <c r="T210" i="1" s="1"/>
  <c r="U210" i="1" s="1"/>
  <c r="V210" i="1" s="1"/>
  <c r="W210" i="1" s="1"/>
  <c r="X210" i="1" s="1"/>
  <c r="Y210" i="1" s="1"/>
  <c r="Z210" i="1" s="1"/>
  <c r="AA210" i="1" s="1"/>
  <c r="AA240" i="1" s="1"/>
  <c r="AA270" i="1" s="1"/>
  <c r="C209" i="1"/>
  <c r="D209" i="1" s="1"/>
  <c r="E209" i="1" s="1"/>
  <c r="F209" i="1" s="1"/>
  <c r="G209" i="1" s="1"/>
  <c r="H209" i="1" s="1"/>
  <c r="I209" i="1" s="1"/>
  <c r="J209" i="1" s="1"/>
  <c r="K209" i="1" s="1"/>
  <c r="L209" i="1" s="1"/>
  <c r="M209" i="1" s="1"/>
  <c r="N209" i="1" s="1"/>
  <c r="O209" i="1" s="1"/>
  <c r="P209" i="1" s="1"/>
  <c r="Q209" i="1" s="1"/>
  <c r="R209" i="1" s="1"/>
  <c r="S209" i="1" s="1"/>
  <c r="T209" i="1" s="1"/>
  <c r="U209" i="1" s="1"/>
  <c r="V209" i="1" s="1"/>
  <c r="W209" i="1" s="1"/>
  <c r="X209" i="1" s="1"/>
  <c r="Y209" i="1" s="1"/>
  <c r="Z209" i="1" s="1"/>
  <c r="AA209" i="1" s="1"/>
  <c r="AA239" i="1" s="1"/>
  <c r="AA269" i="1" s="1"/>
  <c r="C208" i="1"/>
  <c r="D208" i="1" s="1"/>
  <c r="E208" i="1" s="1"/>
  <c r="F208" i="1" s="1"/>
  <c r="G208" i="1" s="1"/>
  <c r="H208" i="1" s="1"/>
  <c r="I208" i="1" s="1"/>
  <c r="J208" i="1" s="1"/>
  <c r="K208" i="1" s="1"/>
  <c r="L208" i="1" s="1"/>
  <c r="M208" i="1" s="1"/>
  <c r="N208" i="1" s="1"/>
  <c r="O208" i="1" s="1"/>
  <c r="P208" i="1" s="1"/>
  <c r="Q208" i="1" s="1"/>
  <c r="R208" i="1" s="1"/>
  <c r="S208" i="1" s="1"/>
  <c r="T208" i="1" s="1"/>
  <c r="U208" i="1" s="1"/>
  <c r="V208" i="1" s="1"/>
  <c r="W208" i="1" s="1"/>
  <c r="X208" i="1" s="1"/>
  <c r="Y208" i="1" s="1"/>
  <c r="Z208" i="1" s="1"/>
  <c r="AA208" i="1" s="1"/>
  <c r="AA238" i="1" s="1"/>
  <c r="AA268" i="1" s="1"/>
  <c r="C207" i="1"/>
  <c r="D207" i="1" s="1"/>
  <c r="E207" i="1" s="1"/>
  <c r="F207" i="1" s="1"/>
  <c r="G207" i="1" s="1"/>
  <c r="H207" i="1" s="1"/>
  <c r="I207" i="1" s="1"/>
  <c r="J207" i="1" s="1"/>
  <c r="K207" i="1" s="1"/>
  <c r="L207" i="1" s="1"/>
  <c r="M207" i="1" s="1"/>
  <c r="N207" i="1" s="1"/>
  <c r="O207" i="1" s="1"/>
  <c r="P207" i="1" s="1"/>
  <c r="Q207" i="1" s="1"/>
  <c r="R207" i="1" s="1"/>
  <c r="S207" i="1" s="1"/>
  <c r="T207" i="1" s="1"/>
  <c r="U207" i="1" s="1"/>
  <c r="V207" i="1" s="1"/>
  <c r="W207" i="1" s="1"/>
  <c r="X207" i="1" s="1"/>
  <c r="Y207" i="1" s="1"/>
  <c r="Z207" i="1" s="1"/>
  <c r="AA207" i="1" s="1"/>
  <c r="C206" i="1"/>
  <c r="C205" i="1"/>
  <c r="C235" i="1" s="1"/>
  <c r="C265" i="1" s="1"/>
  <c r="C203" i="1"/>
  <c r="D203" i="1" s="1"/>
  <c r="E203" i="1" s="1"/>
  <c r="F203" i="1" s="1"/>
  <c r="G203" i="1" s="1"/>
  <c r="H203" i="1" s="1"/>
  <c r="I203" i="1" s="1"/>
  <c r="J203" i="1" s="1"/>
  <c r="K203" i="1" s="1"/>
  <c r="L203" i="1" s="1"/>
  <c r="M203" i="1" s="1"/>
  <c r="N203" i="1" s="1"/>
  <c r="O203" i="1" s="1"/>
  <c r="P203" i="1" s="1"/>
  <c r="Q203" i="1" s="1"/>
  <c r="R203" i="1" s="1"/>
  <c r="S203" i="1" s="1"/>
  <c r="T203" i="1" s="1"/>
  <c r="U203" i="1" s="1"/>
  <c r="V203" i="1" s="1"/>
  <c r="W203" i="1" s="1"/>
  <c r="X203" i="1" s="1"/>
  <c r="Y203" i="1" s="1"/>
  <c r="Z203" i="1" s="1"/>
  <c r="AA203" i="1" s="1"/>
  <c r="AA233" i="1" s="1"/>
  <c r="AA263" i="1" s="1"/>
  <c r="AA416" i="1" s="1"/>
  <c r="L154" i="1"/>
  <c r="M154" i="1" s="1"/>
  <c r="N154" i="1" s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AA154" i="1" s="1"/>
  <c r="AB154" i="1" s="1"/>
  <c r="AC154" i="1" s="1"/>
  <c r="L151" i="1"/>
  <c r="M151" i="1" s="1"/>
  <c r="N151" i="1" s="1"/>
  <c r="O151" i="1" s="1"/>
  <c r="P151" i="1" s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AA151" i="1" s="1"/>
  <c r="AB151" i="1" s="1"/>
  <c r="AC151" i="1" s="1"/>
  <c r="L148" i="1"/>
  <c r="M148" i="1" s="1"/>
  <c r="N148" i="1" s="1"/>
  <c r="O148" i="1" s="1"/>
  <c r="P148" i="1" s="1"/>
  <c r="Q148" i="1" s="1"/>
  <c r="R148" i="1" s="1"/>
  <c r="S148" i="1" s="1"/>
  <c r="T148" i="1" s="1"/>
  <c r="U148" i="1" s="1"/>
  <c r="V148" i="1" s="1"/>
  <c r="W148" i="1" s="1"/>
  <c r="X148" i="1" s="1"/>
  <c r="Y148" i="1" s="1"/>
  <c r="Z148" i="1" s="1"/>
  <c r="AA148" i="1" s="1"/>
  <c r="AB148" i="1" s="1"/>
  <c r="AC148" i="1" s="1"/>
  <c r="L145" i="1"/>
  <c r="M145" i="1" s="1"/>
  <c r="N145" i="1" s="1"/>
  <c r="O145" i="1" s="1"/>
  <c r="P145" i="1" s="1"/>
  <c r="Q145" i="1" s="1"/>
  <c r="R145" i="1" s="1"/>
  <c r="S145" i="1" s="1"/>
  <c r="T145" i="1" s="1"/>
  <c r="U145" i="1" s="1"/>
  <c r="V145" i="1" s="1"/>
  <c r="W145" i="1" s="1"/>
  <c r="X145" i="1" s="1"/>
  <c r="Y145" i="1" s="1"/>
  <c r="Z145" i="1" s="1"/>
  <c r="AA145" i="1" s="1"/>
  <c r="AB145" i="1" s="1"/>
  <c r="AC145" i="1" s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D173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C168" i="1"/>
  <c r="K162" i="1"/>
  <c r="L162" i="1"/>
  <c r="L163" i="1" s="1"/>
  <c r="M162" i="1"/>
  <c r="J162" i="1"/>
  <c r="E163" i="1"/>
  <c r="F163" i="1"/>
  <c r="G163" i="1"/>
  <c r="H163" i="1"/>
  <c r="F141" i="1"/>
  <c r="G141" i="1" s="1"/>
  <c r="F140" i="1"/>
  <c r="F139" i="1"/>
  <c r="F138" i="1"/>
  <c r="F123" i="1"/>
  <c r="F122" i="1"/>
  <c r="F121" i="1"/>
  <c r="D92" i="1"/>
  <c r="D82" i="1"/>
  <c r="D91" i="1" s="1"/>
  <c r="C92" i="1"/>
  <c r="C82" i="1"/>
  <c r="C91" i="1" s="1"/>
  <c r="G140" i="1" l="1"/>
  <c r="H140" i="1"/>
  <c r="G139" i="1"/>
  <c r="H139" i="1"/>
  <c r="G138" i="1"/>
  <c r="H138" i="1"/>
  <c r="F389" i="1"/>
  <c r="J389" i="1"/>
  <c r="R389" i="1"/>
  <c r="R399" i="1" s="1"/>
  <c r="V389" i="1"/>
  <c r="Z389" i="1"/>
  <c r="E195" i="1"/>
  <c r="F195" i="1" s="1"/>
  <c r="G195" i="1" s="1"/>
  <c r="H195" i="1" s="1"/>
  <c r="I195" i="1" s="1"/>
  <c r="J195" i="1" s="1"/>
  <c r="K195" i="1" s="1"/>
  <c r="L195" i="1" s="1"/>
  <c r="M195" i="1" s="1"/>
  <c r="N195" i="1" s="1"/>
  <c r="O195" i="1" s="1"/>
  <c r="P195" i="1" s="1"/>
  <c r="Q195" i="1" s="1"/>
  <c r="R195" i="1" s="1"/>
  <c r="S195" i="1" s="1"/>
  <c r="T195" i="1" s="1"/>
  <c r="U195" i="1" s="1"/>
  <c r="V195" i="1" s="1"/>
  <c r="W195" i="1" s="1"/>
  <c r="X195" i="1" s="1"/>
  <c r="Y195" i="1" s="1"/>
  <c r="Z195" i="1" s="1"/>
  <c r="AA195" i="1" s="1"/>
  <c r="U323" i="1"/>
  <c r="Q323" i="1"/>
  <c r="E389" i="1"/>
  <c r="M389" i="1"/>
  <c r="C323" i="1"/>
  <c r="D206" i="1"/>
  <c r="E206" i="1" s="1"/>
  <c r="F206" i="1" s="1"/>
  <c r="G206" i="1" s="1"/>
  <c r="H206" i="1" s="1"/>
  <c r="I206" i="1" s="1"/>
  <c r="J206" i="1" s="1"/>
  <c r="K206" i="1" s="1"/>
  <c r="L206" i="1" s="1"/>
  <c r="M206" i="1" s="1"/>
  <c r="N206" i="1" s="1"/>
  <c r="O206" i="1" s="1"/>
  <c r="P206" i="1" s="1"/>
  <c r="Q206" i="1" s="1"/>
  <c r="R206" i="1" s="1"/>
  <c r="S206" i="1" s="1"/>
  <c r="T206" i="1" s="1"/>
  <c r="U206" i="1" s="1"/>
  <c r="V206" i="1" s="1"/>
  <c r="W206" i="1" s="1"/>
  <c r="X206" i="1" s="1"/>
  <c r="Y206" i="1" s="1"/>
  <c r="Z206" i="1" s="1"/>
  <c r="AA206" i="1" s="1"/>
  <c r="C236" i="1"/>
  <c r="AA323" i="1"/>
  <c r="Y399" i="1"/>
  <c r="K389" i="1"/>
  <c r="S389" i="1"/>
  <c r="W389" i="1"/>
  <c r="W399" i="1" s="1"/>
  <c r="AA434" i="1"/>
  <c r="AA454" i="1"/>
  <c r="X323" i="1"/>
  <c r="T323" i="1"/>
  <c r="P323" i="1"/>
  <c r="L323" i="1"/>
  <c r="H323" i="1"/>
  <c r="D323" i="1"/>
  <c r="M323" i="1"/>
  <c r="I323" i="1"/>
  <c r="H361" i="1"/>
  <c r="L361" i="1"/>
  <c r="P361" i="1"/>
  <c r="T361" i="1"/>
  <c r="X361" i="1"/>
  <c r="I399" i="1"/>
  <c r="Q389" i="1"/>
  <c r="Q399" i="1" s="1"/>
  <c r="V323" i="1"/>
  <c r="R323" i="1"/>
  <c r="N323" i="1"/>
  <c r="J323" i="1"/>
  <c r="F323" i="1"/>
  <c r="F361" i="1"/>
  <c r="J361" i="1"/>
  <c r="N361" i="1"/>
  <c r="R361" i="1"/>
  <c r="V361" i="1"/>
  <c r="Z361" i="1"/>
  <c r="Q162" i="1"/>
  <c r="L422" i="1"/>
  <c r="L439" i="1" s="1"/>
  <c r="S233" i="1"/>
  <c r="S263" i="1" s="1"/>
  <c r="S416" i="1" s="1"/>
  <c r="S454" i="1" s="1"/>
  <c r="S242" i="1"/>
  <c r="S272" i="1" s="1"/>
  <c r="K240" i="1"/>
  <c r="K270" i="1" s="1"/>
  <c r="S239" i="1"/>
  <c r="S269" i="1" s="1"/>
  <c r="K238" i="1"/>
  <c r="K268" i="1" s="1"/>
  <c r="Y256" i="1"/>
  <c r="Y286" i="1" s="1"/>
  <c r="I256" i="1"/>
  <c r="I286" i="1" s="1"/>
  <c r="Q255" i="1"/>
  <c r="Q285" i="1" s="1"/>
  <c r="Y251" i="1"/>
  <c r="Y281" i="1" s="1"/>
  <c r="I251" i="1"/>
  <c r="I281" i="1" s="1"/>
  <c r="Q250" i="1"/>
  <c r="Q280" i="1" s="1"/>
  <c r="W323" i="1"/>
  <c r="S323" i="1"/>
  <c r="O323" i="1"/>
  <c r="K323" i="1"/>
  <c r="G323" i="1"/>
  <c r="D414" i="1"/>
  <c r="D432" i="1"/>
  <c r="H414" i="1"/>
  <c r="H432" i="1"/>
  <c r="L414" i="1"/>
  <c r="L432" i="1"/>
  <c r="P414" i="1"/>
  <c r="P432" i="1"/>
  <c r="T414" i="1"/>
  <c r="T432" i="1"/>
  <c r="X414" i="1"/>
  <c r="X432" i="1"/>
  <c r="F399" i="1"/>
  <c r="J399" i="1"/>
  <c r="V399" i="1"/>
  <c r="Z399" i="1"/>
  <c r="P162" i="1"/>
  <c r="P422" i="1" s="1"/>
  <c r="P439" i="1" s="1"/>
  <c r="K422" i="1"/>
  <c r="K439" i="1" s="1"/>
  <c r="O233" i="1"/>
  <c r="O263" i="1" s="1"/>
  <c r="O416" i="1" s="1"/>
  <c r="O454" i="1" s="1"/>
  <c r="C239" i="1"/>
  <c r="C269" i="1" s="1"/>
  <c r="O242" i="1"/>
  <c r="O272" i="1" s="1"/>
  <c r="W240" i="1"/>
  <c r="W270" i="1" s="1"/>
  <c r="G240" i="1"/>
  <c r="G270" i="1" s="1"/>
  <c r="O239" i="1"/>
  <c r="O269" i="1" s="1"/>
  <c r="W238" i="1"/>
  <c r="W268" i="1" s="1"/>
  <c r="G238" i="1"/>
  <c r="G268" i="1" s="1"/>
  <c r="U256" i="1"/>
  <c r="U286" i="1" s="1"/>
  <c r="E256" i="1"/>
  <c r="E286" i="1" s="1"/>
  <c r="M255" i="1"/>
  <c r="M285" i="1" s="1"/>
  <c r="U251" i="1"/>
  <c r="U281" i="1" s="1"/>
  <c r="E251" i="1"/>
  <c r="E281" i="1" s="1"/>
  <c r="M250" i="1"/>
  <c r="M280" i="1" s="1"/>
  <c r="E414" i="1"/>
  <c r="E432" i="1"/>
  <c r="I414" i="1"/>
  <c r="I432" i="1"/>
  <c r="M414" i="1"/>
  <c r="M432" i="1"/>
  <c r="Q414" i="1"/>
  <c r="Q432" i="1"/>
  <c r="U414" i="1"/>
  <c r="U432" i="1"/>
  <c r="Y414" i="1"/>
  <c r="Y432" i="1"/>
  <c r="O162" i="1"/>
  <c r="O422" i="1" s="1"/>
  <c r="O439" i="1" s="1"/>
  <c r="J422" i="1"/>
  <c r="J439" i="1" s="1"/>
  <c r="K233" i="1"/>
  <c r="K263" i="1" s="1"/>
  <c r="K416" i="1" s="1"/>
  <c r="K454" i="1" s="1"/>
  <c r="K242" i="1"/>
  <c r="K272" i="1" s="1"/>
  <c r="S240" i="1"/>
  <c r="S270" i="1" s="1"/>
  <c r="K239" i="1"/>
  <c r="K269" i="1" s="1"/>
  <c r="S238" i="1"/>
  <c r="S268" i="1" s="1"/>
  <c r="C248" i="1"/>
  <c r="C278" i="1" s="1"/>
  <c r="Q256" i="1"/>
  <c r="Q286" i="1" s="1"/>
  <c r="Y255" i="1"/>
  <c r="Y285" i="1" s="1"/>
  <c r="I255" i="1"/>
  <c r="I285" i="1" s="1"/>
  <c r="Q251" i="1"/>
  <c r="Q281" i="1" s="1"/>
  <c r="Y250" i="1"/>
  <c r="Y280" i="1" s="1"/>
  <c r="I250" i="1"/>
  <c r="I280" i="1" s="1"/>
  <c r="Y323" i="1"/>
  <c r="F414" i="1"/>
  <c r="F432" i="1"/>
  <c r="J414" i="1"/>
  <c r="J432" i="1"/>
  <c r="N414" i="1"/>
  <c r="N432" i="1"/>
  <c r="R414" i="1"/>
  <c r="R432" i="1"/>
  <c r="V414" i="1"/>
  <c r="V432" i="1"/>
  <c r="Z414" i="1"/>
  <c r="Z432" i="1"/>
  <c r="E399" i="1"/>
  <c r="M399" i="1"/>
  <c r="U389" i="1"/>
  <c r="U399" i="1" s="1"/>
  <c r="R162" i="1"/>
  <c r="R163" i="1" s="1"/>
  <c r="M422" i="1"/>
  <c r="M439" i="1" s="1"/>
  <c r="W233" i="1"/>
  <c r="W263" i="1" s="1"/>
  <c r="W416" i="1" s="1"/>
  <c r="W454" i="1" s="1"/>
  <c r="G233" i="1"/>
  <c r="G263" i="1" s="1"/>
  <c r="G416" i="1" s="1"/>
  <c r="G454" i="1" s="1"/>
  <c r="W242" i="1"/>
  <c r="W272" i="1" s="1"/>
  <c r="G242" i="1"/>
  <c r="G272" i="1" s="1"/>
  <c r="O240" i="1"/>
  <c r="O270" i="1" s="1"/>
  <c r="W239" i="1"/>
  <c r="W269" i="1" s="1"/>
  <c r="G239" i="1"/>
  <c r="G269" i="1" s="1"/>
  <c r="O238" i="1"/>
  <c r="O268" i="1" s="1"/>
  <c r="C256" i="1"/>
  <c r="C286" i="1" s="1"/>
  <c r="M256" i="1"/>
  <c r="M286" i="1" s="1"/>
  <c r="U255" i="1"/>
  <c r="U285" i="1" s="1"/>
  <c r="E255" i="1"/>
  <c r="E285" i="1" s="1"/>
  <c r="M251" i="1"/>
  <c r="M281" i="1" s="1"/>
  <c r="U250" i="1"/>
  <c r="U280" i="1" s="1"/>
  <c r="E250" i="1"/>
  <c r="E280" i="1" s="1"/>
  <c r="Z323" i="1"/>
  <c r="C414" i="1"/>
  <c r="C432" i="1"/>
  <c r="G414" i="1"/>
  <c r="G432" i="1"/>
  <c r="K414" i="1"/>
  <c r="K432" i="1"/>
  <c r="O414" i="1"/>
  <c r="O432" i="1"/>
  <c r="S414" i="1"/>
  <c r="S432" i="1"/>
  <c r="W414" i="1"/>
  <c r="W432" i="1"/>
  <c r="AA414" i="1"/>
  <c r="AA432" i="1"/>
  <c r="N399" i="1"/>
  <c r="W241" i="1"/>
  <c r="W271" i="1" s="1"/>
  <c r="K241" i="1"/>
  <c r="K271" i="1" s="1"/>
  <c r="Q253" i="1"/>
  <c r="Q283" i="1" s="1"/>
  <c r="E253" i="1"/>
  <c r="E283" i="1" s="1"/>
  <c r="C335" i="1"/>
  <c r="J163" i="1"/>
  <c r="E170" i="1"/>
  <c r="E348" i="1"/>
  <c r="E218" i="1"/>
  <c r="D248" i="1"/>
  <c r="D278" i="1" s="1"/>
  <c r="Z233" i="1"/>
  <c r="Z263" i="1" s="1"/>
  <c r="Z416" i="1" s="1"/>
  <c r="Z454" i="1" s="1"/>
  <c r="V233" i="1"/>
  <c r="V263" i="1" s="1"/>
  <c r="V416" i="1" s="1"/>
  <c r="V454" i="1" s="1"/>
  <c r="R233" i="1"/>
  <c r="R263" i="1" s="1"/>
  <c r="R416" i="1" s="1"/>
  <c r="R454" i="1" s="1"/>
  <c r="N233" i="1"/>
  <c r="N263" i="1" s="1"/>
  <c r="N416" i="1" s="1"/>
  <c r="N454" i="1" s="1"/>
  <c r="J233" i="1"/>
  <c r="J263" i="1" s="1"/>
  <c r="J416" i="1" s="1"/>
  <c r="J454" i="1" s="1"/>
  <c r="F233" i="1"/>
  <c r="F263" i="1" s="1"/>
  <c r="F416" i="1" s="1"/>
  <c r="F454" i="1" s="1"/>
  <c r="C242" i="1"/>
  <c r="C272" i="1" s="1"/>
  <c r="C238" i="1"/>
  <c r="C268" i="1" s="1"/>
  <c r="Z242" i="1"/>
  <c r="Z272" i="1" s="1"/>
  <c r="V242" i="1"/>
  <c r="V272" i="1" s="1"/>
  <c r="R242" i="1"/>
  <c r="R272" i="1" s="1"/>
  <c r="N242" i="1"/>
  <c r="N272" i="1" s="1"/>
  <c r="J242" i="1"/>
  <c r="J272" i="1" s="1"/>
  <c r="F242" i="1"/>
  <c r="F272" i="1" s="1"/>
  <c r="Z241" i="1"/>
  <c r="Z271" i="1" s="1"/>
  <c r="V241" i="1"/>
  <c r="V271" i="1" s="1"/>
  <c r="R241" i="1"/>
  <c r="R271" i="1" s="1"/>
  <c r="N241" i="1"/>
  <c r="N271" i="1" s="1"/>
  <c r="J241" i="1"/>
  <c r="J271" i="1" s="1"/>
  <c r="F241" i="1"/>
  <c r="F271" i="1" s="1"/>
  <c r="Z240" i="1"/>
  <c r="Z270" i="1" s="1"/>
  <c r="V240" i="1"/>
  <c r="V270" i="1" s="1"/>
  <c r="R240" i="1"/>
  <c r="R270" i="1" s="1"/>
  <c r="N240" i="1"/>
  <c r="N270" i="1" s="1"/>
  <c r="J240" i="1"/>
  <c r="J270" i="1" s="1"/>
  <c r="F240" i="1"/>
  <c r="F270" i="1" s="1"/>
  <c r="Z239" i="1"/>
  <c r="Z269" i="1" s="1"/>
  <c r="V239" i="1"/>
  <c r="V269" i="1" s="1"/>
  <c r="R239" i="1"/>
  <c r="R269" i="1" s="1"/>
  <c r="N239" i="1"/>
  <c r="N269" i="1" s="1"/>
  <c r="J239" i="1"/>
  <c r="J269" i="1" s="1"/>
  <c r="F239" i="1"/>
  <c r="F269" i="1" s="1"/>
  <c r="Z238" i="1"/>
  <c r="Z268" i="1" s="1"/>
  <c r="V238" i="1"/>
  <c r="V268" i="1" s="1"/>
  <c r="R238" i="1"/>
  <c r="R268" i="1" s="1"/>
  <c r="N238" i="1"/>
  <c r="N268" i="1" s="1"/>
  <c r="J238" i="1"/>
  <c r="J268" i="1" s="1"/>
  <c r="F238" i="1"/>
  <c r="F268" i="1" s="1"/>
  <c r="F237" i="1"/>
  <c r="F267" i="1" s="1"/>
  <c r="C245" i="1"/>
  <c r="C250" i="1"/>
  <c r="C280" i="1" s="1"/>
  <c r="C251" i="1"/>
  <c r="C281" i="1" s="1"/>
  <c r="X256" i="1"/>
  <c r="X286" i="1" s="1"/>
  <c r="T256" i="1"/>
  <c r="T286" i="1" s="1"/>
  <c r="P256" i="1"/>
  <c r="P286" i="1" s="1"/>
  <c r="L256" i="1"/>
  <c r="L286" i="1" s="1"/>
  <c r="H256" i="1"/>
  <c r="H286" i="1" s="1"/>
  <c r="D256" i="1"/>
  <c r="D286" i="1" s="1"/>
  <c r="X255" i="1"/>
  <c r="X285" i="1" s="1"/>
  <c r="T255" i="1"/>
  <c r="T285" i="1" s="1"/>
  <c r="P255" i="1"/>
  <c r="P285" i="1" s="1"/>
  <c r="L255" i="1"/>
  <c r="L285" i="1" s="1"/>
  <c r="H255" i="1"/>
  <c r="H285" i="1" s="1"/>
  <c r="D255" i="1"/>
  <c r="D285" i="1" s="1"/>
  <c r="X253" i="1"/>
  <c r="X283" i="1" s="1"/>
  <c r="T253" i="1"/>
  <c r="T283" i="1" s="1"/>
  <c r="P253" i="1"/>
  <c r="P283" i="1" s="1"/>
  <c r="L253" i="1"/>
  <c r="L283" i="1" s="1"/>
  <c r="H253" i="1"/>
  <c r="H283" i="1" s="1"/>
  <c r="D253" i="1"/>
  <c r="D283" i="1" s="1"/>
  <c r="X251" i="1"/>
  <c r="X281" i="1" s="1"/>
  <c r="T251" i="1"/>
  <c r="T281" i="1" s="1"/>
  <c r="P251" i="1"/>
  <c r="P281" i="1" s="1"/>
  <c r="L251" i="1"/>
  <c r="L281" i="1" s="1"/>
  <c r="H251" i="1"/>
  <c r="H281" i="1" s="1"/>
  <c r="D251" i="1"/>
  <c r="D281" i="1" s="1"/>
  <c r="X250" i="1"/>
  <c r="X280" i="1" s="1"/>
  <c r="T250" i="1"/>
  <c r="T280" i="1" s="1"/>
  <c r="P250" i="1"/>
  <c r="P280" i="1" s="1"/>
  <c r="L250" i="1"/>
  <c r="L280" i="1" s="1"/>
  <c r="H250" i="1"/>
  <c r="H280" i="1" s="1"/>
  <c r="D250" i="1"/>
  <c r="D280" i="1" s="1"/>
  <c r="F170" i="1"/>
  <c r="F348" i="1"/>
  <c r="O241" i="1"/>
  <c r="O271" i="1" s="1"/>
  <c r="G241" i="1"/>
  <c r="G271" i="1" s="1"/>
  <c r="Y253" i="1"/>
  <c r="Y283" i="1" s="1"/>
  <c r="M253" i="1"/>
  <c r="M283" i="1" s="1"/>
  <c r="H170" i="1"/>
  <c r="H348" i="1"/>
  <c r="D205" i="1"/>
  <c r="C297" i="1"/>
  <c r="C296" i="1" s="1"/>
  <c r="E215" i="1"/>
  <c r="D245" i="1"/>
  <c r="D275" i="1" s="1"/>
  <c r="Y233" i="1"/>
  <c r="Y263" i="1" s="1"/>
  <c r="Y416" i="1" s="1"/>
  <c r="Y454" i="1" s="1"/>
  <c r="U233" i="1"/>
  <c r="U263" i="1" s="1"/>
  <c r="U416" i="1" s="1"/>
  <c r="U454" i="1" s="1"/>
  <c r="Q233" i="1"/>
  <c r="Q263" i="1" s="1"/>
  <c r="Q416" i="1" s="1"/>
  <c r="Q454" i="1" s="1"/>
  <c r="M233" i="1"/>
  <c r="M263" i="1" s="1"/>
  <c r="M416" i="1" s="1"/>
  <c r="M454" i="1" s="1"/>
  <c r="I233" i="1"/>
  <c r="I263" i="1" s="1"/>
  <c r="I416" i="1" s="1"/>
  <c r="I454" i="1" s="1"/>
  <c r="E233" i="1"/>
  <c r="E263" i="1" s="1"/>
  <c r="E416" i="1" s="1"/>
  <c r="E454" i="1" s="1"/>
  <c r="C241" i="1"/>
  <c r="C271" i="1" s="1"/>
  <c r="C266" i="1"/>
  <c r="Y242" i="1"/>
  <c r="Y272" i="1" s="1"/>
  <c r="U242" i="1"/>
  <c r="U272" i="1" s="1"/>
  <c r="Q242" i="1"/>
  <c r="Q272" i="1" s="1"/>
  <c r="M242" i="1"/>
  <c r="M272" i="1" s="1"/>
  <c r="I242" i="1"/>
  <c r="I272" i="1" s="1"/>
  <c r="E242" i="1"/>
  <c r="E272" i="1" s="1"/>
  <c r="Y241" i="1"/>
  <c r="Y271" i="1" s="1"/>
  <c r="U241" i="1"/>
  <c r="U271" i="1" s="1"/>
  <c r="Q241" i="1"/>
  <c r="Q271" i="1" s="1"/>
  <c r="M241" i="1"/>
  <c r="M271" i="1" s="1"/>
  <c r="I241" i="1"/>
  <c r="I271" i="1" s="1"/>
  <c r="E241" i="1"/>
  <c r="E271" i="1" s="1"/>
  <c r="Y240" i="1"/>
  <c r="Y270" i="1" s="1"/>
  <c r="U240" i="1"/>
  <c r="U270" i="1" s="1"/>
  <c r="Q240" i="1"/>
  <c r="Q270" i="1" s="1"/>
  <c r="M240" i="1"/>
  <c r="M270" i="1" s="1"/>
  <c r="I240" i="1"/>
  <c r="I270" i="1" s="1"/>
  <c r="E240" i="1"/>
  <c r="E270" i="1" s="1"/>
  <c r="Y239" i="1"/>
  <c r="Y269" i="1" s="1"/>
  <c r="U239" i="1"/>
  <c r="U269" i="1" s="1"/>
  <c r="Q239" i="1"/>
  <c r="Q269" i="1" s="1"/>
  <c r="M239" i="1"/>
  <c r="M269" i="1" s="1"/>
  <c r="I239" i="1"/>
  <c r="I269" i="1" s="1"/>
  <c r="E239" i="1"/>
  <c r="E269" i="1" s="1"/>
  <c r="Y238" i="1"/>
  <c r="Y268" i="1" s="1"/>
  <c r="U238" i="1"/>
  <c r="U268" i="1" s="1"/>
  <c r="Q238" i="1"/>
  <c r="Q268" i="1" s="1"/>
  <c r="M238" i="1"/>
  <c r="M268" i="1" s="1"/>
  <c r="I238" i="1"/>
  <c r="I268" i="1" s="1"/>
  <c r="E238" i="1"/>
  <c r="E268" i="1" s="1"/>
  <c r="I237" i="1"/>
  <c r="I267" i="1" s="1"/>
  <c r="E237" i="1"/>
  <c r="E267" i="1" s="1"/>
  <c r="Y236" i="1"/>
  <c r="Y266" i="1" s="1"/>
  <c r="E236" i="1"/>
  <c r="E266" i="1" s="1"/>
  <c r="C247" i="1"/>
  <c r="C277" i="1" s="1"/>
  <c r="C253" i="1"/>
  <c r="C283" i="1" s="1"/>
  <c r="W256" i="1"/>
  <c r="W286" i="1" s="1"/>
  <c r="S256" i="1"/>
  <c r="S286" i="1" s="1"/>
  <c r="O256" i="1"/>
  <c r="O286" i="1" s="1"/>
  <c r="K256" i="1"/>
  <c r="K286" i="1" s="1"/>
  <c r="G256" i="1"/>
  <c r="G286" i="1" s="1"/>
  <c r="W255" i="1"/>
  <c r="W285" i="1" s="1"/>
  <c r="S255" i="1"/>
  <c r="S285" i="1" s="1"/>
  <c r="O255" i="1"/>
  <c r="O285" i="1" s="1"/>
  <c r="K255" i="1"/>
  <c r="K285" i="1" s="1"/>
  <c r="G255" i="1"/>
  <c r="G285" i="1" s="1"/>
  <c r="W253" i="1"/>
  <c r="W283" i="1" s="1"/>
  <c r="S253" i="1"/>
  <c r="S283" i="1" s="1"/>
  <c r="O253" i="1"/>
  <c r="O283" i="1" s="1"/>
  <c r="K253" i="1"/>
  <c r="K283" i="1" s="1"/>
  <c r="G253" i="1"/>
  <c r="G283" i="1" s="1"/>
  <c r="W251" i="1"/>
  <c r="W281" i="1" s="1"/>
  <c r="S251" i="1"/>
  <c r="S281" i="1" s="1"/>
  <c r="O251" i="1"/>
  <c r="O281" i="1" s="1"/>
  <c r="K251" i="1"/>
  <c r="K281" i="1" s="1"/>
  <c r="G251" i="1"/>
  <c r="G281" i="1" s="1"/>
  <c r="W250" i="1"/>
  <c r="W280" i="1" s="1"/>
  <c r="S250" i="1"/>
  <c r="S280" i="1" s="1"/>
  <c r="O250" i="1"/>
  <c r="O280" i="1" s="1"/>
  <c r="K250" i="1"/>
  <c r="K280" i="1" s="1"/>
  <c r="G250" i="1"/>
  <c r="G280" i="1" s="1"/>
  <c r="L170" i="1"/>
  <c r="L348" i="1"/>
  <c r="E217" i="1"/>
  <c r="D247" i="1"/>
  <c r="D277" i="1" s="1"/>
  <c r="S241" i="1"/>
  <c r="S271" i="1" s="1"/>
  <c r="G237" i="1"/>
  <c r="G267" i="1" s="1"/>
  <c r="U253" i="1"/>
  <c r="U283" i="1" s="1"/>
  <c r="I253" i="1"/>
  <c r="I283" i="1" s="1"/>
  <c r="G170" i="1"/>
  <c r="G348" i="1"/>
  <c r="E216" i="1"/>
  <c r="F216" i="1" s="1"/>
  <c r="G216" i="1" s="1"/>
  <c r="H216" i="1" s="1"/>
  <c r="I216" i="1" s="1"/>
  <c r="J216" i="1" s="1"/>
  <c r="K216" i="1" s="1"/>
  <c r="L216" i="1" s="1"/>
  <c r="M216" i="1" s="1"/>
  <c r="N216" i="1" s="1"/>
  <c r="O216" i="1" s="1"/>
  <c r="P216" i="1" s="1"/>
  <c r="Q216" i="1" s="1"/>
  <c r="R216" i="1" s="1"/>
  <c r="S216" i="1" s="1"/>
  <c r="T216" i="1" s="1"/>
  <c r="U216" i="1" s="1"/>
  <c r="V216" i="1" s="1"/>
  <c r="W216" i="1" s="1"/>
  <c r="X216" i="1" s="1"/>
  <c r="Y216" i="1" s="1"/>
  <c r="Z216" i="1" s="1"/>
  <c r="AA216" i="1" s="1"/>
  <c r="D246" i="1"/>
  <c r="D276" i="1" s="1"/>
  <c r="C233" i="1"/>
  <c r="C263" i="1" s="1"/>
  <c r="C416" i="1" s="1"/>
  <c r="C454" i="1" s="1"/>
  <c r="X233" i="1"/>
  <c r="X263" i="1" s="1"/>
  <c r="X416" i="1" s="1"/>
  <c r="X454" i="1" s="1"/>
  <c r="T233" i="1"/>
  <c r="T263" i="1" s="1"/>
  <c r="T416" i="1" s="1"/>
  <c r="T454" i="1" s="1"/>
  <c r="P233" i="1"/>
  <c r="P263" i="1" s="1"/>
  <c r="P416" i="1" s="1"/>
  <c r="P454" i="1" s="1"/>
  <c r="L233" i="1"/>
  <c r="L263" i="1" s="1"/>
  <c r="L416" i="1" s="1"/>
  <c r="L454" i="1" s="1"/>
  <c r="H233" i="1"/>
  <c r="H263" i="1" s="1"/>
  <c r="H416" i="1" s="1"/>
  <c r="H454" i="1" s="1"/>
  <c r="D233" i="1"/>
  <c r="D263" i="1" s="1"/>
  <c r="D416" i="1" s="1"/>
  <c r="D454" i="1" s="1"/>
  <c r="C240" i="1"/>
  <c r="C270" i="1" s="1"/>
  <c r="C237" i="1"/>
  <c r="C267" i="1" s="1"/>
  <c r="X242" i="1"/>
  <c r="X272" i="1" s="1"/>
  <c r="T242" i="1"/>
  <c r="T272" i="1" s="1"/>
  <c r="P242" i="1"/>
  <c r="P272" i="1" s="1"/>
  <c r="L242" i="1"/>
  <c r="L272" i="1" s="1"/>
  <c r="H242" i="1"/>
  <c r="H272" i="1" s="1"/>
  <c r="D242" i="1"/>
  <c r="D272" i="1" s="1"/>
  <c r="X241" i="1"/>
  <c r="X271" i="1" s="1"/>
  <c r="T241" i="1"/>
  <c r="T271" i="1" s="1"/>
  <c r="P241" i="1"/>
  <c r="P271" i="1" s="1"/>
  <c r="L241" i="1"/>
  <c r="L271" i="1" s="1"/>
  <c r="H241" i="1"/>
  <c r="H271" i="1" s="1"/>
  <c r="D241" i="1"/>
  <c r="D271" i="1" s="1"/>
  <c r="X240" i="1"/>
  <c r="X270" i="1" s="1"/>
  <c r="T240" i="1"/>
  <c r="T270" i="1" s="1"/>
  <c r="P240" i="1"/>
  <c r="P270" i="1" s="1"/>
  <c r="L240" i="1"/>
  <c r="L270" i="1" s="1"/>
  <c r="H240" i="1"/>
  <c r="H270" i="1" s="1"/>
  <c r="D240" i="1"/>
  <c r="D270" i="1" s="1"/>
  <c r="X239" i="1"/>
  <c r="X269" i="1" s="1"/>
  <c r="T239" i="1"/>
  <c r="T269" i="1" s="1"/>
  <c r="P239" i="1"/>
  <c r="P269" i="1" s="1"/>
  <c r="L239" i="1"/>
  <c r="L269" i="1" s="1"/>
  <c r="H239" i="1"/>
  <c r="H269" i="1" s="1"/>
  <c r="D239" i="1"/>
  <c r="D269" i="1" s="1"/>
  <c r="X238" i="1"/>
  <c r="X268" i="1" s="1"/>
  <c r="T238" i="1"/>
  <c r="T268" i="1" s="1"/>
  <c r="P238" i="1"/>
  <c r="P268" i="1" s="1"/>
  <c r="L238" i="1"/>
  <c r="L268" i="1" s="1"/>
  <c r="H238" i="1"/>
  <c r="H268" i="1" s="1"/>
  <c r="D238" i="1"/>
  <c r="D268" i="1" s="1"/>
  <c r="H237" i="1"/>
  <c r="H267" i="1" s="1"/>
  <c r="D237" i="1"/>
  <c r="D267" i="1" s="1"/>
  <c r="H236" i="1"/>
  <c r="H266" i="1" s="1"/>
  <c r="D236" i="1"/>
  <c r="D266" i="1" s="1"/>
  <c r="C246" i="1"/>
  <c r="C276" i="1" s="1"/>
  <c r="C255" i="1"/>
  <c r="C285" i="1" s="1"/>
  <c r="Z256" i="1"/>
  <c r="Z286" i="1" s="1"/>
  <c r="V256" i="1"/>
  <c r="V286" i="1" s="1"/>
  <c r="R256" i="1"/>
  <c r="R286" i="1" s="1"/>
  <c r="N256" i="1"/>
  <c r="N286" i="1" s="1"/>
  <c r="J256" i="1"/>
  <c r="J286" i="1" s="1"/>
  <c r="F256" i="1"/>
  <c r="F286" i="1" s="1"/>
  <c r="Z255" i="1"/>
  <c r="Z285" i="1" s="1"/>
  <c r="V255" i="1"/>
  <c r="V285" i="1" s="1"/>
  <c r="R255" i="1"/>
  <c r="R285" i="1" s="1"/>
  <c r="N255" i="1"/>
  <c r="N285" i="1" s="1"/>
  <c r="J255" i="1"/>
  <c r="J285" i="1" s="1"/>
  <c r="F255" i="1"/>
  <c r="F285" i="1" s="1"/>
  <c r="Z253" i="1"/>
  <c r="Z283" i="1" s="1"/>
  <c r="V253" i="1"/>
  <c r="V283" i="1" s="1"/>
  <c r="R253" i="1"/>
  <c r="R283" i="1" s="1"/>
  <c r="N253" i="1"/>
  <c r="N283" i="1" s="1"/>
  <c r="J253" i="1"/>
  <c r="J283" i="1" s="1"/>
  <c r="F253" i="1"/>
  <c r="F283" i="1" s="1"/>
  <c r="Z251" i="1"/>
  <c r="Z281" i="1" s="1"/>
  <c r="V251" i="1"/>
  <c r="V281" i="1" s="1"/>
  <c r="R251" i="1"/>
  <c r="R281" i="1" s="1"/>
  <c r="N251" i="1"/>
  <c r="N281" i="1" s="1"/>
  <c r="J251" i="1"/>
  <c r="J281" i="1" s="1"/>
  <c r="F251" i="1"/>
  <c r="F281" i="1" s="1"/>
  <c r="Z250" i="1"/>
  <c r="Z280" i="1" s="1"/>
  <c r="V250" i="1"/>
  <c r="V280" i="1" s="1"/>
  <c r="R250" i="1"/>
  <c r="R280" i="1" s="1"/>
  <c r="N250" i="1"/>
  <c r="N280" i="1" s="1"/>
  <c r="J250" i="1"/>
  <c r="J280" i="1" s="1"/>
  <c r="F250" i="1"/>
  <c r="F280" i="1" s="1"/>
  <c r="G361" i="1"/>
  <c r="K361" i="1"/>
  <c r="O361" i="1"/>
  <c r="S361" i="1"/>
  <c r="W361" i="1"/>
  <c r="AA361" i="1"/>
  <c r="H389" i="1"/>
  <c r="H399" i="1" s="1"/>
  <c r="L389" i="1"/>
  <c r="L399" i="1" s="1"/>
  <c r="P389" i="1"/>
  <c r="P399" i="1" s="1"/>
  <c r="T389" i="1"/>
  <c r="T399" i="1" s="1"/>
  <c r="X389" i="1"/>
  <c r="X399" i="1" s="1"/>
  <c r="G399" i="1"/>
  <c r="O399" i="1"/>
  <c r="S399" i="1"/>
  <c r="K399" i="1"/>
  <c r="AA399" i="1"/>
  <c r="K163" i="1"/>
  <c r="C214" i="1"/>
  <c r="D214" i="1" s="1"/>
  <c r="E214" i="1" s="1"/>
  <c r="F214" i="1" s="1"/>
  <c r="G214" i="1" s="1"/>
  <c r="H214" i="1" s="1"/>
  <c r="I214" i="1" s="1"/>
  <c r="J214" i="1" s="1"/>
  <c r="K214" i="1" s="1"/>
  <c r="L214" i="1" s="1"/>
  <c r="M214" i="1" s="1"/>
  <c r="N214" i="1" s="1"/>
  <c r="O214" i="1" s="1"/>
  <c r="P214" i="1" s="1"/>
  <c r="Q214" i="1" s="1"/>
  <c r="R214" i="1" s="1"/>
  <c r="S214" i="1" s="1"/>
  <c r="T214" i="1" s="1"/>
  <c r="U214" i="1" s="1"/>
  <c r="V214" i="1" s="1"/>
  <c r="W214" i="1" s="1"/>
  <c r="X214" i="1" s="1"/>
  <c r="Y214" i="1" s="1"/>
  <c r="Z214" i="1" s="1"/>
  <c r="AA214" i="1" s="1"/>
  <c r="C204" i="1"/>
  <c r="Q163" i="1"/>
  <c r="M163" i="1"/>
  <c r="G152" i="1"/>
  <c r="G155" i="1"/>
  <c r="G149" i="1"/>
  <c r="G146" i="1"/>
  <c r="C97" i="1"/>
  <c r="C100" i="1" s="1"/>
  <c r="C102" i="1" s="1"/>
  <c r="C105" i="1" s="1"/>
  <c r="D97" i="1"/>
  <c r="D100" i="1" s="1"/>
  <c r="D102" i="1" s="1"/>
  <c r="D105" i="1" s="1"/>
  <c r="T236" i="1" l="1"/>
  <c r="T266" i="1" s="1"/>
  <c r="I236" i="1"/>
  <c r="I266" i="1" s="1"/>
  <c r="F236" i="1"/>
  <c r="F266" i="1" s="1"/>
  <c r="X236" i="1"/>
  <c r="X266" i="1" s="1"/>
  <c r="K236" i="1"/>
  <c r="K266" i="1" s="1"/>
  <c r="U236" i="1"/>
  <c r="U266" i="1" s="1"/>
  <c r="J236" i="1"/>
  <c r="J266" i="1" s="1"/>
  <c r="L236" i="1"/>
  <c r="L266" i="1" s="1"/>
  <c r="S236" i="1"/>
  <c r="S266" i="1" s="1"/>
  <c r="M236" i="1"/>
  <c r="M266" i="1" s="1"/>
  <c r="W236" i="1"/>
  <c r="W266" i="1" s="1"/>
  <c r="N236" i="1"/>
  <c r="N266" i="1" s="1"/>
  <c r="P236" i="1"/>
  <c r="P266" i="1" s="1"/>
  <c r="Q236" i="1"/>
  <c r="Q266" i="1" s="1"/>
  <c r="V236" i="1"/>
  <c r="V266" i="1" s="1"/>
  <c r="R236" i="1"/>
  <c r="R266" i="1" s="1"/>
  <c r="Z236" i="1"/>
  <c r="Z266" i="1" s="1"/>
  <c r="G236" i="1"/>
  <c r="G266" i="1" s="1"/>
  <c r="AA236" i="1"/>
  <c r="AA266" i="1" s="1"/>
  <c r="O236" i="1"/>
  <c r="O266" i="1" s="1"/>
  <c r="F29" i="2"/>
  <c r="E52" i="2"/>
  <c r="E51" i="2" s="1"/>
  <c r="P163" i="1"/>
  <c r="U162" i="1"/>
  <c r="U422" i="1" s="1"/>
  <c r="U439" i="1" s="1"/>
  <c r="O163" i="1"/>
  <c r="C458" i="1"/>
  <c r="P415" i="1"/>
  <c r="P434" i="1"/>
  <c r="P433" i="1" s="1"/>
  <c r="W415" i="1"/>
  <c r="W434" i="1"/>
  <c r="W433" i="1" s="1"/>
  <c r="E415" i="1"/>
  <c r="E434" i="1"/>
  <c r="E433" i="1" s="1"/>
  <c r="U415" i="1"/>
  <c r="U434" i="1"/>
  <c r="U433" i="1" s="1"/>
  <c r="J415" i="1"/>
  <c r="J434" i="1"/>
  <c r="J433" i="1" s="1"/>
  <c r="Z415" i="1"/>
  <c r="Z434" i="1"/>
  <c r="Z433" i="1" s="1"/>
  <c r="Q415" i="1"/>
  <c r="Q434" i="1"/>
  <c r="Q433" i="1" s="1"/>
  <c r="F415" i="1"/>
  <c r="F434" i="1"/>
  <c r="F433" i="1" s="1"/>
  <c r="D415" i="1"/>
  <c r="D434" i="1"/>
  <c r="D433" i="1" s="1"/>
  <c r="H415" i="1"/>
  <c r="H434" i="1"/>
  <c r="Y415" i="1"/>
  <c r="Y434" i="1"/>
  <c r="Y433" i="1" s="1"/>
  <c r="S415" i="1"/>
  <c r="S434" i="1"/>
  <c r="S433" i="1" s="1"/>
  <c r="V415" i="1"/>
  <c r="V434" i="1"/>
  <c r="V433" i="1" s="1"/>
  <c r="T415" i="1"/>
  <c r="T434" i="1"/>
  <c r="T433" i="1" s="1"/>
  <c r="X415" i="1"/>
  <c r="X434" i="1"/>
  <c r="I415" i="1"/>
  <c r="I434" i="1"/>
  <c r="I433" i="1" s="1"/>
  <c r="N415" i="1"/>
  <c r="N434" i="1"/>
  <c r="N433" i="1" s="1"/>
  <c r="T162" i="1"/>
  <c r="T422" i="1" s="1"/>
  <c r="T439" i="1" s="1"/>
  <c r="L415" i="1"/>
  <c r="L434" i="1"/>
  <c r="L433" i="1" s="1"/>
  <c r="C415" i="1"/>
  <c r="C434" i="1"/>
  <c r="C433" i="1" s="1"/>
  <c r="M415" i="1"/>
  <c r="M434" i="1"/>
  <c r="M433" i="1" s="1"/>
  <c r="H433" i="1"/>
  <c r="X433" i="1"/>
  <c r="R415" i="1"/>
  <c r="R434" i="1"/>
  <c r="R433" i="1" s="1"/>
  <c r="G415" i="1"/>
  <c r="G434" i="1"/>
  <c r="G433" i="1" s="1"/>
  <c r="K415" i="1"/>
  <c r="K434" i="1"/>
  <c r="K433" i="1" s="1"/>
  <c r="O415" i="1"/>
  <c r="O434" i="1"/>
  <c r="O433" i="1" s="1"/>
  <c r="W162" i="1"/>
  <c r="R422" i="1"/>
  <c r="R439" i="1" s="1"/>
  <c r="V162" i="1"/>
  <c r="Q422" i="1"/>
  <c r="Q439" i="1" s="1"/>
  <c r="P170" i="1"/>
  <c r="P348" i="1"/>
  <c r="Q170" i="1"/>
  <c r="Q348" i="1"/>
  <c r="H349" i="1"/>
  <c r="H386" i="1"/>
  <c r="H387" i="1" s="1"/>
  <c r="E386" i="1"/>
  <c r="E387" i="1" s="1"/>
  <c r="E349" i="1"/>
  <c r="R170" i="1"/>
  <c r="R348" i="1"/>
  <c r="L349" i="1"/>
  <c r="L386" i="1"/>
  <c r="L387" i="1" s="1"/>
  <c r="F215" i="1"/>
  <c r="E245" i="1"/>
  <c r="E275" i="1" s="1"/>
  <c r="F386" i="1"/>
  <c r="F387" i="1" s="1"/>
  <c r="F349" i="1"/>
  <c r="F217" i="1"/>
  <c r="E247" i="1"/>
  <c r="E277" i="1" s="1"/>
  <c r="J170" i="1"/>
  <c r="J348" i="1"/>
  <c r="O170" i="1"/>
  <c r="O348" i="1"/>
  <c r="D244" i="1"/>
  <c r="M170" i="1"/>
  <c r="M348" i="1"/>
  <c r="K170" i="1"/>
  <c r="K348" i="1"/>
  <c r="C234" i="1"/>
  <c r="G349" i="1"/>
  <c r="G386" i="1"/>
  <c r="G387" i="1" s="1"/>
  <c r="E205" i="1"/>
  <c r="D297" i="1"/>
  <c r="D296" i="1" s="1"/>
  <c r="C275" i="1"/>
  <c r="C244" i="1"/>
  <c r="C274" i="1" s="1"/>
  <c r="F218" i="1"/>
  <c r="E248" i="1"/>
  <c r="E278" i="1" s="1"/>
  <c r="C373" i="1"/>
  <c r="C372" i="1" s="1"/>
  <c r="C334" i="1"/>
  <c r="D274" i="1"/>
  <c r="C213" i="1"/>
  <c r="D204" i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O204" i="1" s="1"/>
  <c r="P204" i="1" s="1"/>
  <c r="Q204" i="1" s="1"/>
  <c r="R204" i="1" s="1"/>
  <c r="S204" i="1" s="1"/>
  <c r="T204" i="1" s="1"/>
  <c r="U204" i="1" s="1"/>
  <c r="V204" i="1" s="1"/>
  <c r="W204" i="1" s="1"/>
  <c r="X204" i="1" s="1"/>
  <c r="Y204" i="1" s="1"/>
  <c r="Z204" i="1" s="1"/>
  <c r="AA204" i="1" s="1"/>
  <c r="H149" i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T149" i="1" s="1"/>
  <c r="U149" i="1" s="1"/>
  <c r="V149" i="1" s="1"/>
  <c r="W149" i="1" s="1"/>
  <c r="X149" i="1" s="1"/>
  <c r="Y149" i="1" s="1"/>
  <c r="Z149" i="1" s="1"/>
  <c r="AA149" i="1" s="1"/>
  <c r="AB149" i="1" s="1"/>
  <c r="AC149" i="1" s="1"/>
  <c r="H155" i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AA155" i="1" s="1"/>
  <c r="AB155" i="1" s="1"/>
  <c r="AC155" i="1" s="1"/>
  <c r="H152" i="1"/>
  <c r="I152" i="1" s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T152" i="1" s="1"/>
  <c r="U152" i="1" s="1"/>
  <c r="V152" i="1" s="1"/>
  <c r="W152" i="1" s="1"/>
  <c r="X152" i="1" s="1"/>
  <c r="Y152" i="1" s="1"/>
  <c r="Z152" i="1" s="1"/>
  <c r="AA152" i="1" s="1"/>
  <c r="AB152" i="1" s="1"/>
  <c r="AC152" i="1" s="1"/>
  <c r="H146" i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T146" i="1" s="1"/>
  <c r="U146" i="1" s="1"/>
  <c r="V146" i="1" s="1"/>
  <c r="W146" i="1" s="1"/>
  <c r="X146" i="1" s="1"/>
  <c r="Y146" i="1" s="1"/>
  <c r="Z146" i="1" s="1"/>
  <c r="AA146" i="1" s="1"/>
  <c r="AB146" i="1" s="1"/>
  <c r="AC146" i="1" s="1"/>
  <c r="Z162" i="1"/>
  <c r="U163" i="1"/>
  <c r="G29" i="2" l="1"/>
  <c r="F52" i="2"/>
  <c r="F51" i="2" s="1"/>
  <c r="D155" i="1"/>
  <c r="D149" i="1"/>
  <c r="D152" i="1"/>
  <c r="D146" i="1"/>
  <c r="T163" i="1"/>
  <c r="Y162" i="1"/>
  <c r="Y163" i="1" s="1"/>
  <c r="W163" i="1"/>
  <c r="W422" i="1"/>
  <c r="W439" i="1" s="1"/>
  <c r="AA162" i="1"/>
  <c r="V422" i="1"/>
  <c r="V439" i="1" s="1"/>
  <c r="V163" i="1"/>
  <c r="Z163" i="1"/>
  <c r="Z348" i="1" s="1"/>
  <c r="Z422" i="1"/>
  <c r="Z439" i="1" s="1"/>
  <c r="C264" i="1"/>
  <c r="C243" i="1"/>
  <c r="F205" i="1"/>
  <c r="E297" i="1"/>
  <c r="E296" i="1" s="1"/>
  <c r="K349" i="1"/>
  <c r="K386" i="1"/>
  <c r="K387" i="1" s="1"/>
  <c r="R386" i="1"/>
  <c r="R387" i="1" s="1"/>
  <c r="R349" i="1"/>
  <c r="P349" i="1"/>
  <c r="P386" i="1"/>
  <c r="P387" i="1" s="1"/>
  <c r="T170" i="1"/>
  <c r="T348" i="1"/>
  <c r="G218" i="1"/>
  <c r="F248" i="1"/>
  <c r="F278" i="1" s="1"/>
  <c r="M386" i="1"/>
  <c r="M387" i="1" s="1"/>
  <c r="M349" i="1"/>
  <c r="G215" i="1"/>
  <c r="F245" i="1"/>
  <c r="F275" i="1" s="1"/>
  <c r="Q386" i="1"/>
  <c r="Q387" i="1" s="1"/>
  <c r="Q349" i="1"/>
  <c r="U170" i="1"/>
  <c r="U348" i="1"/>
  <c r="Z170" i="1"/>
  <c r="O349" i="1"/>
  <c r="O386" i="1"/>
  <c r="O387" i="1" s="1"/>
  <c r="J386" i="1"/>
  <c r="J387" i="1" s="1"/>
  <c r="J349" i="1"/>
  <c r="G217" i="1"/>
  <c r="F247" i="1"/>
  <c r="F277" i="1" s="1"/>
  <c r="D213" i="1"/>
  <c r="E213" i="1" s="1"/>
  <c r="F213" i="1" s="1"/>
  <c r="G213" i="1" s="1"/>
  <c r="H213" i="1" s="1"/>
  <c r="I213" i="1" s="1"/>
  <c r="J213" i="1" s="1"/>
  <c r="K213" i="1" s="1"/>
  <c r="L213" i="1" s="1"/>
  <c r="M213" i="1" s="1"/>
  <c r="N213" i="1" s="1"/>
  <c r="O213" i="1" s="1"/>
  <c r="P213" i="1" s="1"/>
  <c r="Q213" i="1" s="1"/>
  <c r="R213" i="1" s="1"/>
  <c r="S213" i="1" s="1"/>
  <c r="T213" i="1" s="1"/>
  <c r="U213" i="1" s="1"/>
  <c r="V213" i="1" s="1"/>
  <c r="W213" i="1" s="1"/>
  <c r="X213" i="1" s="1"/>
  <c r="Y213" i="1" s="1"/>
  <c r="Z213" i="1" s="1"/>
  <c r="AA213" i="1" s="1"/>
  <c r="C219" i="1"/>
  <c r="Y422" i="1" l="1"/>
  <c r="Y439" i="1" s="1"/>
  <c r="H29" i="2"/>
  <c r="G52" i="2"/>
  <c r="G51" i="2" s="1"/>
  <c r="Y170" i="1"/>
  <c r="Y348" i="1"/>
  <c r="Y386" i="1" s="1"/>
  <c r="Y387" i="1" s="1"/>
  <c r="C438" i="1"/>
  <c r="C455" i="1"/>
  <c r="AA163" i="1"/>
  <c r="AA422" i="1"/>
  <c r="AA439" i="1" s="1"/>
  <c r="V170" i="1"/>
  <c r="V348" i="1"/>
  <c r="W348" i="1"/>
  <c r="W170" i="1"/>
  <c r="T349" i="1"/>
  <c r="T386" i="1"/>
  <c r="T387" i="1" s="1"/>
  <c r="C273" i="1"/>
  <c r="C249" i="1"/>
  <c r="Z386" i="1"/>
  <c r="Z387" i="1" s="1"/>
  <c r="Z349" i="1"/>
  <c r="Y349" i="1"/>
  <c r="G205" i="1"/>
  <c r="F297" i="1"/>
  <c r="F296" i="1" s="1"/>
  <c r="U386" i="1"/>
  <c r="U387" i="1" s="1"/>
  <c r="U349" i="1"/>
  <c r="H217" i="1"/>
  <c r="G247" i="1"/>
  <c r="G277" i="1" s="1"/>
  <c r="H215" i="1"/>
  <c r="G245" i="1"/>
  <c r="G275" i="1" s="1"/>
  <c r="H218" i="1"/>
  <c r="G248" i="1"/>
  <c r="G278" i="1" s="1"/>
  <c r="C222" i="1"/>
  <c r="D219" i="1"/>
  <c r="E219" i="1" s="1"/>
  <c r="F219" i="1" s="1"/>
  <c r="G219" i="1" s="1"/>
  <c r="H219" i="1" s="1"/>
  <c r="I219" i="1" s="1"/>
  <c r="J219" i="1" s="1"/>
  <c r="K219" i="1" s="1"/>
  <c r="L219" i="1" s="1"/>
  <c r="M219" i="1" s="1"/>
  <c r="N219" i="1" s="1"/>
  <c r="O219" i="1" s="1"/>
  <c r="P219" i="1" s="1"/>
  <c r="Q219" i="1" s="1"/>
  <c r="R219" i="1" s="1"/>
  <c r="S219" i="1" s="1"/>
  <c r="T219" i="1" s="1"/>
  <c r="U219" i="1" s="1"/>
  <c r="V219" i="1" s="1"/>
  <c r="W219" i="1" s="1"/>
  <c r="X219" i="1" s="1"/>
  <c r="Y219" i="1" s="1"/>
  <c r="Z219" i="1" s="1"/>
  <c r="AA219" i="1" s="1"/>
  <c r="C73" i="1"/>
  <c r="E31" i="1"/>
  <c r="E29" i="1"/>
  <c r="E26" i="1"/>
  <c r="E24" i="1"/>
  <c r="E21" i="1"/>
  <c r="E19" i="1"/>
  <c r="E16" i="1"/>
  <c r="E14" i="1"/>
  <c r="D34" i="1"/>
  <c r="D36" i="1"/>
  <c r="D41" i="1" s="1"/>
  <c r="C36" i="1"/>
  <c r="C34" i="1"/>
  <c r="C39" i="1" s="1"/>
  <c r="D32" i="1"/>
  <c r="C32" i="1"/>
  <c r="D30" i="1"/>
  <c r="C30" i="1"/>
  <c r="D27" i="1"/>
  <c r="C27" i="1"/>
  <c r="D25" i="1"/>
  <c r="C25" i="1"/>
  <c r="D22" i="1"/>
  <c r="C22" i="1"/>
  <c r="D20" i="1"/>
  <c r="C20" i="1"/>
  <c r="D15" i="1"/>
  <c r="C15" i="1"/>
  <c r="D17" i="1"/>
  <c r="C17" i="1"/>
  <c r="I29" i="2" l="1"/>
  <c r="H52" i="2"/>
  <c r="H51" i="2" s="1"/>
  <c r="E15" i="1"/>
  <c r="E27" i="1"/>
  <c r="E32" i="1"/>
  <c r="V386" i="1"/>
  <c r="V387" i="1" s="1"/>
  <c r="V349" i="1"/>
  <c r="W349" i="1"/>
  <c r="W386" i="1"/>
  <c r="W387" i="1" s="1"/>
  <c r="AA348" i="1"/>
  <c r="AA170" i="1"/>
  <c r="I218" i="1"/>
  <c r="H248" i="1"/>
  <c r="H278" i="1" s="1"/>
  <c r="I217" i="1"/>
  <c r="H247" i="1"/>
  <c r="H277" i="1" s="1"/>
  <c r="H205" i="1"/>
  <c r="G297" i="1"/>
  <c r="G296" i="1" s="1"/>
  <c r="I215" i="1"/>
  <c r="H245" i="1"/>
  <c r="H275" i="1" s="1"/>
  <c r="E34" i="1"/>
  <c r="C252" i="1"/>
  <c r="C279" i="1"/>
  <c r="C224" i="1"/>
  <c r="D222" i="1"/>
  <c r="E222" i="1" s="1"/>
  <c r="F222" i="1" s="1"/>
  <c r="G222" i="1" s="1"/>
  <c r="H222" i="1" s="1"/>
  <c r="I222" i="1" s="1"/>
  <c r="J222" i="1" s="1"/>
  <c r="K222" i="1" s="1"/>
  <c r="L222" i="1" s="1"/>
  <c r="M222" i="1" s="1"/>
  <c r="N222" i="1" s="1"/>
  <c r="O222" i="1" s="1"/>
  <c r="P222" i="1" s="1"/>
  <c r="Q222" i="1" s="1"/>
  <c r="R222" i="1" s="1"/>
  <c r="S222" i="1" s="1"/>
  <c r="T222" i="1" s="1"/>
  <c r="U222" i="1" s="1"/>
  <c r="V222" i="1" s="1"/>
  <c r="W222" i="1" s="1"/>
  <c r="X222" i="1" s="1"/>
  <c r="Y222" i="1" s="1"/>
  <c r="Z222" i="1" s="1"/>
  <c r="AA222" i="1" s="1"/>
  <c r="E17" i="1"/>
  <c r="E20" i="1"/>
  <c r="E25" i="1"/>
  <c r="E30" i="1"/>
  <c r="D39" i="1"/>
  <c r="E39" i="1" s="1"/>
  <c r="E22" i="1"/>
  <c r="D35" i="1"/>
  <c r="D40" i="1" s="1"/>
  <c r="E36" i="1"/>
  <c r="C41" i="1"/>
  <c r="E41" i="1" s="1"/>
  <c r="C35" i="1"/>
  <c r="D28" i="1"/>
  <c r="C28" i="1"/>
  <c r="D23" i="1"/>
  <c r="C23" i="1"/>
  <c r="D37" i="1"/>
  <c r="C37" i="1"/>
  <c r="D18" i="1"/>
  <c r="D13" i="1"/>
  <c r="C13" i="1"/>
  <c r="C18" i="1"/>
  <c r="J29" i="2" l="1"/>
  <c r="I52" i="2"/>
  <c r="I51" i="2" s="1"/>
  <c r="D50" i="1"/>
  <c r="D55" i="1" s="1"/>
  <c r="D180" i="1" s="1"/>
  <c r="D355" i="1" s="1"/>
  <c r="D393" i="1" s="1"/>
  <c r="AA349" i="1"/>
  <c r="AA386" i="1"/>
  <c r="AA387" i="1" s="1"/>
  <c r="J215" i="1"/>
  <c r="I245" i="1"/>
  <c r="I275" i="1" s="1"/>
  <c r="J217" i="1"/>
  <c r="I247" i="1"/>
  <c r="I277" i="1" s="1"/>
  <c r="C282" i="1"/>
  <c r="C254" i="1"/>
  <c r="I205" i="1"/>
  <c r="H297" i="1"/>
  <c r="H296" i="1" s="1"/>
  <c r="J218" i="1"/>
  <c r="I248" i="1"/>
  <c r="I278" i="1" s="1"/>
  <c r="C227" i="1"/>
  <c r="D224" i="1"/>
  <c r="E224" i="1" s="1"/>
  <c r="F224" i="1" s="1"/>
  <c r="G224" i="1" s="1"/>
  <c r="H224" i="1" s="1"/>
  <c r="I224" i="1" s="1"/>
  <c r="J224" i="1" s="1"/>
  <c r="K224" i="1" s="1"/>
  <c r="L224" i="1" s="1"/>
  <c r="M224" i="1" s="1"/>
  <c r="N224" i="1" s="1"/>
  <c r="O224" i="1" s="1"/>
  <c r="P224" i="1" s="1"/>
  <c r="Q224" i="1" s="1"/>
  <c r="R224" i="1" s="1"/>
  <c r="S224" i="1" s="1"/>
  <c r="T224" i="1" s="1"/>
  <c r="U224" i="1" s="1"/>
  <c r="V224" i="1" s="1"/>
  <c r="W224" i="1" s="1"/>
  <c r="X224" i="1" s="1"/>
  <c r="Y224" i="1" s="1"/>
  <c r="Z224" i="1" s="1"/>
  <c r="AA224" i="1" s="1"/>
  <c r="E18" i="1"/>
  <c r="E37" i="1"/>
  <c r="C42" i="1"/>
  <c r="E28" i="1"/>
  <c r="E13" i="1"/>
  <c r="C130" i="1" s="1"/>
  <c r="D33" i="1"/>
  <c r="D42" i="1"/>
  <c r="D46" i="2" s="1"/>
  <c r="C40" i="1"/>
  <c r="E35" i="1"/>
  <c r="E23" i="1"/>
  <c r="C33" i="1"/>
  <c r="C46" i="2" l="1"/>
  <c r="C45" i="2" s="1"/>
  <c r="D51" i="1"/>
  <c r="D52" i="1" s="1"/>
  <c r="D45" i="2"/>
  <c r="K29" i="2"/>
  <c r="J52" i="2"/>
  <c r="J51" i="2" s="1"/>
  <c r="E33" i="1"/>
  <c r="I162" i="1" s="1"/>
  <c r="I422" i="1" s="1"/>
  <c r="I439" i="1" s="1"/>
  <c r="D54" i="1"/>
  <c r="D227" i="1"/>
  <c r="C295" i="1"/>
  <c r="C307" i="1" s="1"/>
  <c r="C324" i="1" s="1"/>
  <c r="C326" i="1" s="1"/>
  <c r="D325" i="1" s="1"/>
  <c r="J205" i="1"/>
  <c r="I297" i="1"/>
  <c r="I296" i="1" s="1"/>
  <c r="K217" i="1"/>
  <c r="J247" i="1"/>
  <c r="J277" i="1" s="1"/>
  <c r="J237" i="1"/>
  <c r="J267" i="1" s="1"/>
  <c r="K218" i="1"/>
  <c r="J248" i="1"/>
  <c r="J278" i="1" s="1"/>
  <c r="C284" i="1"/>
  <c r="C257" i="1"/>
  <c r="K215" i="1"/>
  <c r="J245" i="1"/>
  <c r="J275" i="1" s="1"/>
  <c r="I163" i="1"/>
  <c r="N162" i="1"/>
  <c r="N422" i="1" s="1"/>
  <c r="N439" i="1" s="1"/>
  <c r="D56" i="1"/>
  <c r="C51" i="1"/>
  <c r="E42" i="1"/>
  <c r="C38" i="1"/>
  <c r="D38" i="1"/>
  <c r="E40" i="1"/>
  <c r="C50" i="1"/>
  <c r="E154" i="1" l="1"/>
  <c r="E148" i="1"/>
  <c r="L29" i="2"/>
  <c r="K52" i="2"/>
  <c r="K51" i="2" s="1"/>
  <c r="C287" i="1"/>
  <c r="C333" i="1"/>
  <c r="K237" i="1"/>
  <c r="K267" i="1" s="1"/>
  <c r="K205" i="1"/>
  <c r="J297" i="1"/>
  <c r="J296" i="1" s="1"/>
  <c r="L215" i="1"/>
  <c r="K245" i="1"/>
  <c r="K275" i="1" s="1"/>
  <c r="I170" i="1"/>
  <c r="I348" i="1"/>
  <c r="D57" i="1"/>
  <c r="D352" i="1"/>
  <c r="D440" i="1" s="1"/>
  <c r="L218" i="1"/>
  <c r="K248" i="1"/>
  <c r="K278" i="1" s="1"/>
  <c r="L217" i="1"/>
  <c r="K247" i="1"/>
  <c r="K277" i="1" s="1"/>
  <c r="E227" i="1"/>
  <c r="D295" i="1"/>
  <c r="D307" i="1" s="1"/>
  <c r="D324" i="1" s="1"/>
  <c r="D326" i="1" s="1"/>
  <c r="E325" i="1" s="1"/>
  <c r="D43" i="1"/>
  <c r="D161" i="1"/>
  <c r="D420" i="1" s="1"/>
  <c r="E38" i="1"/>
  <c r="E43" i="1" s="1"/>
  <c r="C43" i="1"/>
  <c r="C161" i="1"/>
  <c r="C420" i="1" s="1"/>
  <c r="S162" i="1"/>
  <c r="S422" i="1" s="1"/>
  <c r="S439" i="1" s="1"/>
  <c r="N163" i="1"/>
  <c r="C56" i="1"/>
  <c r="E51" i="1"/>
  <c r="E50" i="1"/>
  <c r="C55" i="1"/>
  <c r="C180" i="1" s="1"/>
  <c r="C52" i="1"/>
  <c r="E52" i="1" s="1"/>
  <c r="F154" i="1" l="1"/>
  <c r="D154" i="1" s="1"/>
  <c r="C154" i="1" s="1"/>
  <c r="E145" i="1"/>
  <c r="F148" i="1"/>
  <c r="D148" i="1"/>
  <c r="C148" i="1" s="1"/>
  <c r="E151" i="1"/>
  <c r="M29" i="2"/>
  <c r="L52" i="2"/>
  <c r="L51" i="2" s="1"/>
  <c r="C74" i="1"/>
  <c r="C75" i="1" s="1"/>
  <c r="C464" i="1"/>
  <c r="D163" i="1"/>
  <c r="D348" i="1" s="1"/>
  <c r="D349" i="1" s="1"/>
  <c r="D453" i="1"/>
  <c r="C163" i="1"/>
  <c r="C348" i="1" s="1"/>
  <c r="C386" i="1" s="1"/>
  <c r="C387" i="1" s="1"/>
  <c r="M217" i="1"/>
  <c r="L247" i="1"/>
  <c r="L277" i="1" s="1"/>
  <c r="M215" i="1"/>
  <c r="L245" i="1"/>
  <c r="L275" i="1" s="1"/>
  <c r="L237" i="1"/>
  <c r="L267" i="1" s="1"/>
  <c r="E56" i="1"/>
  <c r="F56" i="1" s="1"/>
  <c r="I386" i="1"/>
  <c r="I387" i="1" s="1"/>
  <c r="I349" i="1"/>
  <c r="C181" i="1"/>
  <c r="D181" i="1" s="1"/>
  <c r="E182" i="1" s="1"/>
  <c r="E343" i="1" s="1"/>
  <c r="E381" i="1" s="1"/>
  <c r="C355" i="1"/>
  <c r="C393" i="1" s="1"/>
  <c r="N170" i="1"/>
  <c r="N348" i="1"/>
  <c r="F227" i="1"/>
  <c r="E295" i="1"/>
  <c r="E307" i="1" s="1"/>
  <c r="E324" i="1" s="1"/>
  <c r="E326" i="1" s="1"/>
  <c r="F325" i="1" s="1"/>
  <c r="M218" i="1"/>
  <c r="L248" i="1"/>
  <c r="L278" i="1" s="1"/>
  <c r="L205" i="1"/>
  <c r="K297" i="1"/>
  <c r="K296" i="1" s="1"/>
  <c r="C371" i="1"/>
  <c r="C383" i="1" s="1"/>
  <c r="C345" i="1"/>
  <c r="D386" i="1"/>
  <c r="D387" i="1" s="1"/>
  <c r="D390" i="1"/>
  <c r="D389" i="1" s="1"/>
  <c r="D399" i="1" s="1"/>
  <c r="D351" i="1"/>
  <c r="D361" i="1" s="1"/>
  <c r="D170" i="1"/>
  <c r="D171" i="1" s="1"/>
  <c r="X162" i="1"/>
  <c r="S163" i="1"/>
  <c r="C54" i="1"/>
  <c r="E54" i="1" s="1"/>
  <c r="E55" i="1"/>
  <c r="F145" i="1" l="1"/>
  <c r="D145" i="1" s="1"/>
  <c r="C145" i="1" s="1"/>
  <c r="F151" i="1"/>
  <c r="D151" i="1" s="1"/>
  <c r="C151" i="1" s="1"/>
  <c r="N29" i="2"/>
  <c r="M52" i="2"/>
  <c r="M51" i="2" s="1"/>
  <c r="C419" i="1"/>
  <c r="C424" i="1" s="1"/>
  <c r="C44" i="2" s="1"/>
  <c r="C50" i="2" s="1"/>
  <c r="C60" i="2" s="1"/>
  <c r="C453" i="1"/>
  <c r="C457" i="1" s="1"/>
  <c r="C349" i="1"/>
  <c r="F182" i="1"/>
  <c r="F343" i="1" s="1"/>
  <c r="F381" i="1" s="1"/>
  <c r="C352" i="1"/>
  <c r="C390" i="1" s="1"/>
  <c r="C389" i="1" s="1"/>
  <c r="C399" i="1" s="1"/>
  <c r="C400" i="1" s="1"/>
  <c r="C402" i="1" s="1"/>
  <c r="D401" i="1" s="1"/>
  <c r="X163" i="1"/>
  <c r="X170" i="1" s="1"/>
  <c r="X422" i="1"/>
  <c r="X439" i="1" s="1"/>
  <c r="N218" i="1"/>
  <c r="M248" i="1"/>
  <c r="M278" i="1" s="1"/>
  <c r="E246" i="1"/>
  <c r="E276" i="1" s="1"/>
  <c r="N215" i="1"/>
  <c r="M245" i="1"/>
  <c r="M275" i="1" s="1"/>
  <c r="M205" i="1"/>
  <c r="L297" i="1"/>
  <c r="L296" i="1" s="1"/>
  <c r="S170" i="1"/>
  <c r="S348" i="1"/>
  <c r="G227" i="1"/>
  <c r="F295" i="1"/>
  <c r="F307" i="1" s="1"/>
  <c r="F324" i="1" s="1"/>
  <c r="F326" i="1" s="1"/>
  <c r="G325" i="1" s="1"/>
  <c r="N386" i="1"/>
  <c r="N387" i="1" s="1"/>
  <c r="N349" i="1"/>
  <c r="M237" i="1"/>
  <c r="M267" i="1" s="1"/>
  <c r="N217" i="1"/>
  <c r="M247" i="1"/>
  <c r="M277" i="1" s="1"/>
  <c r="G182" i="1"/>
  <c r="G343" i="1" s="1"/>
  <c r="G381" i="1" s="1"/>
  <c r="D174" i="1"/>
  <c r="E171" i="1"/>
  <c r="C57" i="1"/>
  <c r="E57" i="1" s="1"/>
  <c r="F57" i="1" s="1"/>
  <c r="F55" i="1"/>
  <c r="C60" i="1"/>
  <c r="C61" i="1"/>
  <c r="O29" i="2" l="1"/>
  <c r="N52" i="2"/>
  <c r="N51" i="2" s="1"/>
  <c r="F246" i="1"/>
  <c r="F276" i="1" s="1"/>
  <c r="X348" i="1"/>
  <c r="X386" i="1" s="1"/>
  <c r="X387" i="1" s="1"/>
  <c r="C351" i="1"/>
  <c r="C361" i="1" s="1"/>
  <c r="C362" i="1" s="1"/>
  <c r="C364" i="1" s="1"/>
  <c r="D363" i="1" s="1"/>
  <c r="C440" i="1"/>
  <c r="C437" i="1" s="1"/>
  <c r="C444" i="1" s="1"/>
  <c r="E244" i="1"/>
  <c r="E274" i="1" s="1"/>
  <c r="O215" i="1"/>
  <c r="N245" i="1"/>
  <c r="N275" i="1" s="1"/>
  <c r="O217" i="1"/>
  <c r="N247" i="1"/>
  <c r="N277" i="1" s="1"/>
  <c r="H227" i="1"/>
  <c r="G295" i="1"/>
  <c r="G307" i="1" s="1"/>
  <c r="G324" i="1" s="1"/>
  <c r="G326" i="1" s="1"/>
  <c r="H325" i="1" s="1"/>
  <c r="N205" i="1"/>
  <c r="M297" i="1"/>
  <c r="M296" i="1" s="1"/>
  <c r="O218" i="1"/>
  <c r="N248" i="1"/>
  <c r="N278" i="1" s="1"/>
  <c r="N237" i="1"/>
  <c r="N267" i="1" s="1"/>
  <c r="X349" i="1"/>
  <c r="S349" i="1"/>
  <c r="S386" i="1"/>
  <c r="S387" i="1" s="1"/>
  <c r="H182" i="1"/>
  <c r="H343" i="1" s="1"/>
  <c r="H381" i="1" s="1"/>
  <c r="G246" i="1"/>
  <c r="E172" i="1"/>
  <c r="F171" i="1"/>
  <c r="F244" i="1" l="1"/>
  <c r="P29" i="2"/>
  <c r="O52" i="2"/>
  <c r="O51" i="2" s="1"/>
  <c r="P218" i="1"/>
  <c r="O248" i="1"/>
  <c r="O278" i="1" s="1"/>
  <c r="I227" i="1"/>
  <c r="H295" i="1"/>
  <c r="H307" i="1" s="1"/>
  <c r="H324" i="1" s="1"/>
  <c r="H326" i="1" s="1"/>
  <c r="I325" i="1" s="1"/>
  <c r="P217" i="1"/>
  <c r="O247" i="1"/>
  <c r="O277" i="1" s="1"/>
  <c r="O237" i="1"/>
  <c r="O267" i="1" s="1"/>
  <c r="O205" i="1"/>
  <c r="N297" i="1"/>
  <c r="N296" i="1" s="1"/>
  <c r="P215" i="1"/>
  <c r="O245" i="1"/>
  <c r="O275" i="1" s="1"/>
  <c r="G276" i="1"/>
  <c r="G244" i="1"/>
  <c r="I182" i="1"/>
  <c r="I343" i="1" s="1"/>
  <c r="I381" i="1" s="1"/>
  <c r="H246" i="1"/>
  <c r="F274" i="1"/>
  <c r="G171" i="1"/>
  <c r="F172" i="1"/>
  <c r="E194" i="1" s="1"/>
  <c r="E235" i="1" s="1"/>
  <c r="E335" i="1" s="1"/>
  <c r="D194" i="1"/>
  <c r="D235" i="1" s="1"/>
  <c r="D335" i="1" s="1"/>
  <c r="E173" i="1"/>
  <c r="Q29" i="2" l="1"/>
  <c r="P52" i="2"/>
  <c r="P51" i="2" s="1"/>
  <c r="P205" i="1"/>
  <c r="O297" i="1"/>
  <c r="O296" i="1" s="1"/>
  <c r="J227" i="1"/>
  <c r="I295" i="1"/>
  <c r="I307" i="1" s="1"/>
  <c r="I324" i="1" s="1"/>
  <c r="I326" i="1" s="1"/>
  <c r="J325" i="1" s="1"/>
  <c r="D334" i="1"/>
  <c r="D373" i="1"/>
  <c r="D372" i="1" s="1"/>
  <c r="E334" i="1"/>
  <c r="E373" i="1"/>
  <c r="E372" i="1" s="1"/>
  <c r="Q215" i="1"/>
  <c r="P245" i="1"/>
  <c r="P275" i="1" s="1"/>
  <c r="P237" i="1"/>
  <c r="P267" i="1" s="1"/>
  <c r="Q217" i="1"/>
  <c r="P247" i="1"/>
  <c r="P277" i="1" s="1"/>
  <c r="Q218" i="1"/>
  <c r="P248" i="1"/>
  <c r="P278" i="1" s="1"/>
  <c r="E265" i="1"/>
  <c r="E234" i="1"/>
  <c r="J182" i="1"/>
  <c r="J343" i="1" s="1"/>
  <c r="J381" i="1" s="1"/>
  <c r="I246" i="1"/>
  <c r="G274" i="1"/>
  <c r="H276" i="1"/>
  <c r="H244" i="1"/>
  <c r="D265" i="1"/>
  <c r="D234" i="1"/>
  <c r="F173" i="1"/>
  <c r="E174" i="1"/>
  <c r="H171" i="1"/>
  <c r="G172" i="1"/>
  <c r="F194" i="1" s="1"/>
  <c r="F235" i="1" s="1"/>
  <c r="F335" i="1" s="1"/>
  <c r="R29" i="2" l="1"/>
  <c r="Q52" i="2"/>
  <c r="Q51" i="2" s="1"/>
  <c r="K227" i="1"/>
  <c r="J295" i="1"/>
  <c r="J307" i="1" s="1"/>
  <c r="J324" i="1" s="1"/>
  <c r="J326" i="1" s="1"/>
  <c r="K325" i="1" s="1"/>
  <c r="F334" i="1"/>
  <c r="F373" i="1"/>
  <c r="F372" i="1" s="1"/>
  <c r="R218" i="1"/>
  <c r="Q248" i="1"/>
  <c r="Q278" i="1" s="1"/>
  <c r="Q237" i="1"/>
  <c r="Q267" i="1" s="1"/>
  <c r="R217" i="1"/>
  <c r="Q247" i="1"/>
  <c r="Q277" i="1" s="1"/>
  <c r="R215" i="1"/>
  <c r="Q245" i="1"/>
  <c r="Q275" i="1" s="1"/>
  <c r="Q205" i="1"/>
  <c r="P297" i="1"/>
  <c r="P296" i="1" s="1"/>
  <c r="I276" i="1"/>
  <c r="I244" i="1"/>
  <c r="F265" i="1"/>
  <c r="F234" i="1"/>
  <c r="D264" i="1"/>
  <c r="D243" i="1"/>
  <c r="E264" i="1"/>
  <c r="E243" i="1"/>
  <c r="H274" i="1"/>
  <c r="K182" i="1"/>
  <c r="K343" i="1" s="1"/>
  <c r="K381" i="1" s="1"/>
  <c r="J246" i="1"/>
  <c r="I171" i="1"/>
  <c r="H172" i="1"/>
  <c r="G194" i="1" s="1"/>
  <c r="G235" i="1" s="1"/>
  <c r="G335" i="1" s="1"/>
  <c r="G173" i="1"/>
  <c r="F174" i="1"/>
  <c r="D421" i="1" l="1"/>
  <c r="D455" i="1" s="1"/>
  <c r="E421" i="1"/>
  <c r="E455" i="1" s="1"/>
  <c r="S29" i="2"/>
  <c r="R52" i="2"/>
  <c r="R51" i="2" s="1"/>
  <c r="D419" i="1"/>
  <c r="D424" i="1" s="1"/>
  <c r="D44" i="2" s="1"/>
  <c r="D50" i="2" s="1"/>
  <c r="D60" i="2" s="1"/>
  <c r="D438" i="1"/>
  <c r="D437" i="1" s="1"/>
  <c r="S215" i="1"/>
  <c r="R245" i="1"/>
  <c r="R275" i="1" s="1"/>
  <c r="R237" i="1"/>
  <c r="R267" i="1" s="1"/>
  <c r="L227" i="1"/>
  <c r="K295" i="1"/>
  <c r="K307" i="1" s="1"/>
  <c r="K324" i="1" s="1"/>
  <c r="K326" i="1" s="1"/>
  <c r="L325" i="1" s="1"/>
  <c r="S217" i="1"/>
  <c r="R247" i="1"/>
  <c r="R277" i="1" s="1"/>
  <c r="S218" i="1"/>
  <c r="R248" i="1"/>
  <c r="R278" i="1" s="1"/>
  <c r="G334" i="1"/>
  <c r="G373" i="1"/>
  <c r="G372" i="1" s="1"/>
  <c r="R205" i="1"/>
  <c r="Q297" i="1"/>
  <c r="Q296" i="1" s="1"/>
  <c r="E273" i="1"/>
  <c r="E249" i="1"/>
  <c r="D273" i="1"/>
  <c r="D249" i="1"/>
  <c r="I274" i="1"/>
  <c r="J276" i="1"/>
  <c r="J244" i="1"/>
  <c r="F243" i="1"/>
  <c r="F264" i="1"/>
  <c r="L182" i="1"/>
  <c r="L343" i="1" s="1"/>
  <c r="L381" i="1" s="1"/>
  <c r="K246" i="1"/>
  <c r="G234" i="1"/>
  <c r="G265" i="1"/>
  <c r="J171" i="1"/>
  <c r="I172" i="1"/>
  <c r="H194" i="1" s="1"/>
  <c r="H235" i="1" s="1"/>
  <c r="H335" i="1" s="1"/>
  <c r="H173" i="1"/>
  <c r="G174" i="1"/>
  <c r="E438" i="1" l="1"/>
  <c r="E437" i="1" s="1"/>
  <c r="E419" i="1"/>
  <c r="E424" i="1" s="1"/>
  <c r="E44" i="2" s="1"/>
  <c r="E50" i="2" s="1"/>
  <c r="E60" i="2" s="1"/>
  <c r="F421" i="1"/>
  <c r="F455" i="1" s="1"/>
  <c r="T29" i="2"/>
  <c r="S52" i="2"/>
  <c r="S51" i="2" s="1"/>
  <c r="S205" i="1"/>
  <c r="R297" i="1"/>
  <c r="R296" i="1" s="1"/>
  <c r="M227" i="1"/>
  <c r="L295" i="1"/>
  <c r="L307" i="1" s="1"/>
  <c r="L324" i="1" s="1"/>
  <c r="L326" i="1" s="1"/>
  <c r="M325" i="1" s="1"/>
  <c r="T215" i="1"/>
  <c r="S245" i="1"/>
  <c r="S275" i="1" s="1"/>
  <c r="T217" i="1"/>
  <c r="S247" i="1"/>
  <c r="S277" i="1" s="1"/>
  <c r="S237" i="1"/>
  <c r="S267" i="1" s="1"/>
  <c r="T218" i="1"/>
  <c r="S248" i="1"/>
  <c r="S278" i="1" s="1"/>
  <c r="H334" i="1"/>
  <c r="H373" i="1"/>
  <c r="H372" i="1" s="1"/>
  <c r="K276" i="1"/>
  <c r="K244" i="1"/>
  <c r="D252" i="1"/>
  <c r="D279" i="1"/>
  <c r="M182" i="1"/>
  <c r="M343" i="1" s="1"/>
  <c r="M381" i="1" s="1"/>
  <c r="L246" i="1"/>
  <c r="E252" i="1"/>
  <c r="E279" i="1"/>
  <c r="H265" i="1"/>
  <c r="H234" i="1"/>
  <c r="J274" i="1"/>
  <c r="G264" i="1"/>
  <c r="G243" i="1"/>
  <c r="F273" i="1"/>
  <c r="F249" i="1"/>
  <c r="I173" i="1"/>
  <c r="H174" i="1"/>
  <c r="K171" i="1"/>
  <c r="J172" i="1"/>
  <c r="I194" i="1" s="1"/>
  <c r="I235" i="1" s="1"/>
  <c r="I335" i="1" s="1"/>
  <c r="F438" i="1" l="1"/>
  <c r="F437" i="1" s="1"/>
  <c r="G421" i="1"/>
  <c r="G455" i="1" s="1"/>
  <c r="F419" i="1"/>
  <c r="F424" i="1" s="1"/>
  <c r="F44" i="2" s="1"/>
  <c r="F50" i="2" s="1"/>
  <c r="F60" i="2" s="1"/>
  <c r="U29" i="2"/>
  <c r="T52" i="2"/>
  <c r="T51" i="2" s="1"/>
  <c r="G419" i="1"/>
  <c r="G424" i="1" s="1"/>
  <c r="G44" i="2" s="1"/>
  <c r="G50" i="2" s="1"/>
  <c r="G60" i="2" s="1"/>
  <c r="T237" i="1"/>
  <c r="T267" i="1" s="1"/>
  <c r="N227" i="1"/>
  <c r="M295" i="1"/>
  <c r="M307" i="1" s="1"/>
  <c r="M324" i="1" s="1"/>
  <c r="M326" i="1" s="1"/>
  <c r="N325" i="1" s="1"/>
  <c r="U218" i="1"/>
  <c r="T248" i="1"/>
  <c r="T278" i="1" s="1"/>
  <c r="U217" i="1"/>
  <c r="T247" i="1"/>
  <c r="T277" i="1" s="1"/>
  <c r="U215" i="1"/>
  <c r="T245" i="1"/>
  <c r="T275" i="1" s="1"/>
  <c r="T205" i="1"/>
  <c r="S297" i="1"/>
  <c r="S296" i="1" s="1"/>
  <c r="I334" i="1"/>
  <c r="I373" i="1"/>
  <c r="I372" i="1" s="1"/>
  <c r="F252" i="1"/>
  <c r="F279" i="1"/>
  <c r="E254" i="1"/>
  <c r="E282" i="1"/>
  <c r="E444" i="1" s="1"/>
  <c r="G273" i="1"/>
  <c r="G249" i="1"/>
  <c r="L276" i="1"/>
  <c r="L244" i="1"/>
  <c r="K274" i="1"/>
  <c r="I234" i="1"/>
  <c r="I265" i="1"/>
  <c r="D254" i="1"/>
  <c r="D282" i="1"/>
  <c r="D444" i="1" s="1"/>
  <c r="H264" i="1"/>
  <c r="H243" i="1"/>
  <c r="N182" i="1"/>
  <c r="N343" i="1" s="1"/>
  <c r="N381" i="1" s="1"/>
  <c r="M246" i="1"/>
  <c r="L171" i="1"/>
  <c r="K172" i="1"/>
  <c r="J194" i="1" s="1"/>
  <c r="J235" i="1" s="1"/>
  <c r="J335" i="1" s="1"/>
  <c r="J173" i="1"/>
  <c r="I174" i="1"/>
  <c r="G438" i="1" l="1"/>
  <c r="G437" i="1" s="1"/>
  <c r="H421" i="1"/>
  <c r="H455" i="1" s="1"/>
  <c r="V29" i="2"/>
  <c r="U52" i="2"/>
  <c r="U51" i="2" s="1"/>
  <c r="O227" i="1"/>
  <c r="N295" i="1"/>
  <c r="N307" i="1" s="1"/>
  <c r="N324" i="1" s="1"/>
  <c r="N326" i="1" s="1"/>
  <c r="O325" i="1" s="1"/>
  <c r="U205" i="1"/>
  <c r="T297" i="1"/>
  <c r="T296" i="1" s="1"/>
  <c r="V217" i="1"/>
  <c r="U247" i="1"/>
  <c r="U277" i="1" s="1"/>
  <c r="V218" i="1"/>
  <c r="U248" i="1"/>
  <c r="U278" i="1" s="1"/>
  <c r="U237" i="1"/>
  <c r="U267" i="1" s="1"/>
  <c r="V215" i="1"/>
  <c r="U245" i="1"/>
  <c r="U275" i="1" s="1"/>
  <c r="J334" i="1"/>
  <c r="J373" i="1"/>
  <c r="J372" i="1" s="1"/>
  <c r="I243" i="1"/>
  <c r="I264" i="1"/>
  <c r="M276" i="1"/>
  <c r="M244" i="1"/>
  <c r="G252" i="1"/>
  <c r="G279" i="1"/>
  <c r="E284" i="1"/>
  <c r="E257" i="1"/>
  <c r="O182" i="1"/>
  <c r="O343" i="1" s="1"/>
  <c r="O381" i="1" s="1"/>
  <c r="N246" i="1"/>
  <c r="D257" i="1"/>
  <c r="D284" i="1"/>
  <c r="J234" i="1"/>
  <c r="J265" i="1"/>
  <c r="H273" i="1"/>
  <c r="H249" i="1"/>
  <c r="L274" i="1"/>
  <c r="F254" i="1"/>
  <c r="F282" i="1"/>
  <c r="F444" i="1" s="1"/>
  <c r="K173" i="1"/>
  <c r="J174" i="1"/>
  <c r="M171" i="1"/>
  <c r="L172" i="1"/>
  <c r="K194" i="1" s="1"/>
  <c r="K235" i="1" s="1"/>
  <c r="K335" i="1" s="1"/>
  <c r="H438" i="1" l="1"/>
  <c r="H437" i="1" s="1"/>
  <c r="I421" i="1"/>
  <c r="I455" i="1" s="1"/>
  <c r="H419" i="1"/>
  <c r="H424" i="1" s="1"/>
  <c r="H44" i="2" s="1"/>
  <c r="H50" i="2" s="1"/>
  <c r="H60" i="2" s="1"/>
  <c r="W29" i="2"/>
  <c r="V52" i="2"/>
  <c r="V51" i="2" s="1"/>
  <c r="I419" i="1"/>
  <c r="I424" i="1" s="1"/>
  <c r="I44" i="2" s="1"/>
  <c r="I50" i="2" s="1"/>
  <c r="I60" i="2" s="1"/>
  <c r="V237" i="1"/>
  <c r="V267" i="1" s="1"/>
  <c r="W217" i="1"/>
  <c r="V247" i="1"/>
  <c r="V277" i="1" s="1"/>
  <c r="E287" i="1"/>
  <c r="E333" i="1"/>
  <c r="W215" i="1"/>
  <c r="V245" i="1"/>
  <c r="V275" i="1" s="1"/>
  <c r="W218" i="1"/>
  <c r="V248" i="1"/>
  <c r="V278" i="1" s="1"/>
  <c r="V205" i="1"/>
  <c r="U297" i="1"/>
  <c r="U296" i="1" s="1"/>
  <c r="P227" i="1"/>
  <c r="O295" i="1"/>
  <c r="O307" i="1" s="1"/>
  <c r="O324" i="1" s="1"/>
  <c r="O326" i="1" s="1"/>
  <c r="P325" i="1" s="1"/>
  <c r="K334" i="1"/>
  <c r="K373" i="1"/>
  <c r="K372" i="1" s="1"/>
  <c r="D287" i="1"/>
  <c r="D333" i="1"/>
  <c r="K234" i="1"/>
  <c r="K265" i="1"/>
  <c r="F284" i="1"/>
  <c r="F257" i="1"/>
  <c r="N276" i="1"/>
  <c r="N244" i="1"/>
  <c r="H252" i="1"/>
  <c r="H279" i="1"/>
  <c r="M274" i="1"/>
  <c r="J243" i="1"/>
  <c r="J264" i="1"/>
  <c r="P182" i="1"/>
  <c r="P343" i="1" s="1"/>
  <c r="P381" i="1" s="1"/>
  <c r="O246" i="1"/>
  <c r="G254" i="1"/>
  <c r="G282" i="1"/>
  <c r="G444" i="1" s="1"/>
  <c r="I273" i="1"/>
  <c r="I249" i="1"/>
  <c r="N171" i="1"/>
  <c r="M172" i="1"/>
  <c r="L194" i="1" s="1"/>
  <c r="L235" i="1" s="1"/>
  <c r="L335" i="1" s="1"/>
  <c r="L173" i="1"/>
  <c r="K174" i="1"/>
  <c r="I438" i="1" l="1"/>
  <c r="I437" i="1" s="1"/>
  <c r="J421" i="1"/>
  <c r="J455" i="1" s="1"/>
  <c r="X29" i="2"/>
  <c r="W52" i="2"/>
  <c r="W51" i="2" s="1"/>
  <c r="X217" i="1"/>
  <c r="W247" i="1"/>
  <c r="W277" i="1" s="1"/>
  <c r="F287" i="1"/>
  <c r="F333" i="1"/>
  <c r="W205" i="1"/>
  <c r="V297" i="1"/>
  <c r="V296" i="1" s="1"/>
  <c r="X215" i="1"/>
  <c r="W245" i="1"/>
  <c r="W275" i="1" s="1"/>
  <c r="W237" i="1"/>
  <c r="W267" i="1" s="1"/>
  <c r="Q227" i="1"/>
  <c r="P295" i="1"/>
  <c r="P307" i="1" s="1"/>
  <c r="P324" i="1" s="1"/>
  <c r="P326" i="1" s="1"/>
  <c r="Q325" i="1" s="1"/>
  <c r="X218" i="1"/>
  <c r="W248" i="1"/>
  <c r="W278" i="1" s="1"/>
  <c r="L334" i="1"/>
  <c r="L373" i="1"/>
  <c r="L372" i="1" s="1"/>
  <c r="D371" i="1"/>
  <c r="D383" i="1" s="1"/>
  <c r="D400" i="1" s="1"/>
  <c r="D402" i="1" s="1"/>
  <c r="E401" i="1" s="1"/>
  <c r="D345" i="1"/>
  <c r="D362" i="1" s="1"/>
  <c r="D364" i="1" s="1"/>
  <c r="E363" i="1" s="1"/>
  <c r="E371" i="1"/>
  <c r="E383" i="1" s="1"/>
  <c r="E400" i="1" s="1"/>
  <c r="E345" i="1"/>
  <c r="E362" i="1" s="1"/>
  <c r="L265" i="1"/>
  <c r="L234" i="1"/>
  <c r="G284" i="1"/>
  <c r="G257" i="1"/>
  <c r="J273" i="1"/>
  <c r="J249" i="1"/>
  <c r="H254" i="1"/>
  <c r="H282" i="1"/>
  <c r="H444" i="1" s="1"/>
  <c r="I252" i="1"/>
  <c r="I279" i="1"/>
  <c r="O276" i="1"/>
  <c r="O244" i="1"/>
  <c r="N274" i="1"/>
  <c r="Q182" i="1"/>
  <c r="Q343" i="1" s="1"/>
  <c r="Q381" i="1" s="1"/>
  <c r="P246" i="1"/>
  <c r="K264" i="1"/>
  <c r="K243" i="1"/>
  <c r="M173" i="1"/>
  <c r="L174" i="1"/>
  <c r="O171" i="1"/>
  <c r="N172" i="1"/>
  <c r="M194" i="1" s="1"/>
  <c r="M235" i="1" s="1"/>
  <c r="M335" i="1" s="1"/>
  <c r="J438" i="1" l="1"/>
  <c r="J437" i="1" s="1"/>
  <c r="J419" i="1"/>
  <c r="J424" i="1" s="1"/>
  <c r="J44" i="2" s="1"/>
  <c r="J50" i="2" s="1"/>
  <c r="J60" i="2" s="1"/>
  <c r="K421" i="1"/>
  <c r="K455" i="1" s="1"/>
  <c r="Y29" i="2"/>
  <c r="X52" i="2"/>
  <c r="X51" i="2" s="1"/>
  <c r="E364" i="1"/>
  <c r="F363" i="1" s="1"/>
  <c r="E402" i="1"/>
  <c r="F401" i="1" s="1"/>
  <c r="R227" i="1"/>
  <c r="Q295" i="1"/>
  <c r="Q307" i="1" s="1"/>
  <c r="Q324" i="1" s="1"/>
  <c r="Q326" i="1" s="1"/>
  <c r="R325" i="1" s="1"/>
  <c r="Y215" i="1"/>
  <c r="X245" i="1"/>
  <c r="X275" i="1" s="1"/>
  <c r="F371" i="1"/>
  <c r="F383" i="1" s="1"/>
  <c r="F400" i="1" s="1"/>
  <c r="F345" i="1"/>
  <c r="F362" i="1" s="1"/>
  <c r="G287" i="1"/>
  <c r="G333" i="1"/>
  <c r="Y217" i="1"/>
  <c r="X247" i="1"/>
  <c r="X277" i="1" s="1"/>
  <c r="M334" i="1"/>
  <c r="M373" i="1"/>
  <c r="M372" i="1" s="1"/>
  <c r="Y218" i="1"/>
  <c r="X248" i="1"/>
  <c r="X278" i="1" s="1"/>
  <c r="X237" i="1"/>
  <c r="X267" i="1" s="1"/>
  <c r="X205" i="1"/>
  <c r="W297" i="1"/>
  <c r="W296" i="1" s="1"/>
  <c r="P276" i="1"/>
  <c r="P244" i="1"/>
  <c r="R182" i="1"/>
  <c r="R343" i="1" s="1"/>
  <c r="R381" i="1" s="1"/>
  <c r="Q246" i="1"/>
  <c r="H257" i="1"/>
  <c r="H284" i="1"/>
  <c r="M265" i="1"/>
  <c r="M234" i="1"/>
  <c r="K273" i="1"/>
  <c r="K249" i="1"/>
  <c r="J252" i="1"/>
  <c r="J279" i="1"/>
  <c r="L264" i="1"/>
  <c r="L243" i="1"/>
  <c r="O274" i="1"/>
  <c r="I254" i="1"/>
  <c r="I282" i="1"/>
  <c r="I444" i="1" s="1"/>
  <c r="P171" i="1"/>
  <c r="O172" i="1"/>
  <c r="N194" i="1" s="1"/>
  <c r="N235" i="1" s="1"/>
  <c r="N335" i="1" s="1"/>
  <c r="N173" i="1"/>
  <c r="M174" i="1"/>
  <c r="K438" i="1" l="1"/>
  <c r="K437" i="1" s="1"/>
  <c r="L421" i="1"/>
  <c r="L455" i="1" s="1"/>
  <c r="K419" i="1"/>
  <c r="K424" i="1" s="1"/>
  <c r="K44" i="2" s="1"/>
  <c r="K50" i="2" s="1"/>
  <c r="K60" i="2" s="1"/>
  <c r="Z29" i="2"/>
  <c r="Y52" i="2"/>
  <c r="Y51" i="2" s="1"/>
  <c r="F364" i="1"/>
  <c r="G363" i="1" s="1"/>
  <c r="L419" i="1"/>
  <c r="L424" i="1" s="1"/>
  <c r="L44" i="2" s="1"/>
  <c r="L50" i="2" s="1"/>
  <c r="L60" i="2" s="1"/>
  <c r="F402" i="1"/>
  <c r="G401" i="1" s="1"/>
  <c r="S227" i="1"/>
  <c r="R295" i="1"/>
  <c r="R307" i="1" s="1"/>
  <c r="R324" i="1" s="1"/>
  <c r="R326" i="1" s="1"/>
  <c r="S325" i="1" s="1"/>
  <c r="H287" i="1"/>
  <c r="H333" i="1"/>
  <c r="Y237" i="1"/>
  <c r="Y267" i="1" s="1"/>
  <c r="G371" i="1"/>
  <c r="G383" i="1" s="1"/>
  <c r="G400" i="1" s="1"/>
  <c r="G345" i="1"/>
  <c r="G362" i="1" s="1"/>
  <c r="G364" i="1" s="1"/>
  <c r="H363" i="1" s="1"/>
  <c r="Z215" i="1"/>
  <c r="Y245" i="1"/>
  <c r="Y275" i="1" s="1"/>
  <c r="N334" i="1"/>
  <c r="N373" i="1"/>
  <c r="N372" i="1" s="1"/>
  <c r="Y205" i="1"/>
  <c r="X297" i="1"/>
  <c r="X296" i="1" s="1"/>
  <c r="Z218" i="1"/>
  <c r="Y248" i="1"/>
  <c r="Y278" i="1" s="1"/>
  <c r="Z217" i="1"/>
  <c r="Y247" i="1"/>
  <c r="Y277" i="1" s="1"/>
  <c r="J254" i="1"/>
  <c r="J282" i="1"/>
  <c r="J444" i="1" s="1"/>
  <c r="M243" i="1"/>
  <c r="M264" i="1"/>
  <c r="Q276" i="1"/>
  <c r="Q244" i="1"/>
  <c r="L273" i="1"/>
  <c r="L249" i="1"/>
  <c r="K252" i="1"/>
  <c r="K279" i="1"/>
  <c r="S182" i="1"/>
  <c r="S343" i="1" s="1"/>
  <c r="S381" i="1" s="1"/>
  <c r="R246" i="1"/>
  <c r="I284" i="1"/>
  <c r="I257" i="1"/>
  <c r="P274" i="1"/>
  <c r="N234" i="1"/>
  <c r="N265" i="1"/>
  <c r="O173" i="1"/>
  <c r="N174" i="1"/>
  <c r="Q171" i="1"/>
  <c r="P172" i="1"/>
  <c r="O194" i="1" s="1"/>
  <c r="O235" i="1" s="1"/>
  <c r="O335" i="1" s="1"/>
  <c r="L438" i="1" l="1"/>
  <c r="L437" i="1" s="1"/>
  <c r="M421" i="1"/>
  <c r="M455" i="1" s="1"/>
  <c r="AA29" i="2"/>
  <c r="AA52" i="2" s="1"/>
  <c r="Z52" i="2"/>
  <c r="Z51" i="2" s="1"/>
  <c r="G402" i="1"/>
  <c r="H401" i="1" s="1"/>
  <c r="M419" i="1"/>
  <c r="M424" i="1" s="1"/>
  <c r="M44" i="2" s="1"/>
  <c r="M50" i="2" s="1"/>
  <c r="M60" i="2" s="1"/>
  <c r="AA218" i="1"/>
  <c r="AA248" i="1" s="1"/>
  <c r="AA278" i="1" s="1"/>
  <c r="Z248" i="1"/>
  <c r="Z278" i="1" s="1"/>
  <c r="AA237" i="1"/>
  <c r="AA267" i="1" s="1"/>
  <c r="Z237" i="1"/>
  <c r="Z267" i="1" s="1"/>
  <c r="T227" i="1"/>
  <c r="S295" i="1"/>
  <c r="S307" i="1" s="1"/>
  <c r="S324" i="1" s="1"/>
  <c r="S326" i="1" s="1"/>
  <c r="T325" i="1" s="1"/>
  <c r="O334" i="1"/>
  <c r="O373" i="1"/>
  <c r="O372" i="1" s="1"/>
  <c r="AA215" i="1"/>
  <c r="AA245" i="1" s="1"/>
  <c r="AA275" i="1" s="1"/>
  <c r="Z245" i="1"/>
  <c r="Z275" i="1" s="1"/>
  <c r="I287" i="1"/>
  <c r="I333" i="1"/>
  <c r="AA217" i="1"/>
  <c r="AA247" i="1" s="1"/>
  <c r="AA277" i="1" s="1"/>
  <c r="Z247" i="1"/>
  <c r="Z277" i="1" s="1"/>
  <c r="Z205" i="1"/>
  <c r="Y297" i="1"/>
  <c r="Y296" i="1" s="1"/>
  <c r="H371" i="1"/>
  <c r="H383" i="1" s="1"/>
  <c r="H400" i="1" s="1"/>
  <c r="H402" i="1" s="1"/>
  <c r="I401" i="1" s="1"/>
  <c r="H345" i="1"/>
  <c r="H362" i="1" s="1"/>
  <c r="H364" i="1" s="1"/>
  <c r="I363" i="1" s="1"/>
  <c r="R244" i="1"/>
  <c r="R276" i="1"/>
  <c r="T182" i="1"/>
  <c r="T343" i="1" s="1"/>
  <c r="T381" i="1" s="1"/>
  <c r="S246" i="1"/>
  <c r="M273" i="1"/>
  <c r="M249" i="1"/>
  <c r="O234" i="1"/>
  <c r="O265" i="1"/>
  <c r="Q274" i="1"/>
  <c r="L252" i="1"/>
  <c r="L279" i="1"/>
  <c r="N243" i="1"/>
  <c r="N264" i="1"/>
  <c r="K254" i="1"/>
  <c r="K282" i="1"/>
  <c r="K444" i="1" s="1"/>
  <c r="J284" i="1"/>
  <c r="J257" i="1"/>
  <c r="P173" i="1"/>
  <c r="O174" i="1"/>
  <c r="R171" i="1"/>
  <c r="Q172" i="1"/>
  <c r="P194" i="1" s="1"/>
  <c r="P235" i="1" s="1"/>
  <c r="P335" i="1" s="1"/>
  <c r="C63" i="2" l="1"/>
  <c r="AA51" i="2"/>
  <c r="M438" i="1"/>
  <c r="M437" i="1" s="1"/>
  <c r="N421" i="1"/>
  <c r="N455" i="1" s="1"/>
  <c r="J287" i="1"/>
  <c r="J333" i="1"/>
  <c r="U227" i="1"/>
  <c r="T295" i="1"/>
  <c r="T307" i="1" s="1"/>
  <c r="T324" i="1" s="1"/>
  <c r="T326" i="1" s="1"/>
  <c r="U325" i="1" s="1"/>
  <c r="P334" i="1"/>
  <c r="P373" i="1"/>
  <c r="P372" i="1" s="1"/>
  <c r="AA205" i="1"/>
  <c r="Z297" i="1"/>
  <c r="Z296" i="1" s="1"/>
  <c r="I371" i="1"/>
  <c r="I383" i="1" s="1"/>
  <c r="I400" i="1" s="1"/>
  <c r="I402" i="1" s="1"/>
  <c r="J401" i="1" s="1"/>
  <c r="I345" i="1"/>
  <c r="I362" i="1" s="1"/>
  <c r="I364" i="1" s="1"/>
  <c r="J363" i="1" s="1"/>
  <c r="S276" i="1"/>
  <c r="S244" i="1"/>
  <c r="K284" i="1"/>
  <c r="K257" i="1"/>
  <c r="L254" i="1"/>
  <c r="L282" i="1"/>
  <c r="L444" i="1" s="1"/>
  <c r="O264" i="1"/>
  <c r="O243" i="1"/>
  <c r="U182" i="1"/>
  <c r="U343" i="1" s="1"/>
  <c r="U381" i="1" s="1"/>
  <c r="T246" i="1"/>
  <c r="P265" i="1"/>
  <c r="P234" i="1"/>
  <c r="M252" i="1"/>
  <c r="M279" i="1"/>
  <c r="N273" i="1"/>
  <c r="N249" i="1"/>
  <c r="R274" i="1"/>
  <c r="S171" i="1"/>
  <c r="R172" i="1"/>
  <c r="Q194" i="1" s="1"/>
  <c r="Q235" i="1" s="1"/>
  <c r="Q335" i="1" s="1"/>
  <c r="Q173" i="1"/>
  <c r="P174" i="1"/>
  <c r="N438" i="1" l="1"/>
  <c r="N437" i="1" s="1"/>
  <c r="N419" i="1"/>
  <c r="N424" i="1" s="1"/>
  <c r="N44" i="2" s="1"/>
  <c r="N50" i="2" s="1"/>
  <c r="N60" i="2" s="1"/>
  <c r="O421" i="1"/>
  <c r="O455" i="1" s="1"/>
  <c r="K287" i="1"/>
  <c r="K333" i="1"/>
  <c r="Q334" i="1"/>
  <c r="Q373" i="1"/>
  <c r="Q372" i="1" s="1"/>
  <c r="AA297" i="1"/>
  <c r="AA296" i="1" s="1"/>
  <c r="AA235" i="1"/>
  <c r="V227" i="1"/>
  <c r="U295" i="1"/>
  <c r="U307" i="1" s="1"/>
  <c r="U324" i="1" s="1"/>
  <c r="U326" i="1" s="1"/>
  <c r="V325" i="1" s="1"/>
  <c r="J371" i="1"/>
  <c r="J383" i="1" s="1"/>
  <c r="J400" i="1" s="1"/>
  <c r="J402" i="1" s="1"/>
  <c r="K401" i="1" s="1"/>
  <c r="J345" i="1"/>
  <c r="J362" i="1" s="1"/>
  <c r="J364" i="1" s="1"/>
  <c r="K363" i="1" s="1"/>
  <c r="P264" i="1"/>
  <c r="P243" i="1"/>
  <c r="O273" i="1"/>
  <c r="O249" i="1"/>
  <c r="T276" i="1"/>
  <c r="T244" i="1"/>
  <c r="Q265" i="1"/>
  <c r="Q234" i="1"/>
  <c r="N252" i="1"/>
  <c r="N279" i="1"/>
  <c r="S274" i="1"/>
  <c r="M254" i="1"/>
  <c r="M282" i="1"/>
  <c r="M444" i="1" s="1"/>
  <c r="V182" i="1"/>
  <c r="V343" i="1" s="1"/>
  <c r="V381" i="1" s="1"/>
  <c r="U246" i="1"/>
  <c r="L284" i="1"/>
  <c r="L257" i="1"/>
  <c r="R173" i="1"/>
  <c r="Q174" i="1"/>
  <c r="T171" i="1"/>
  <c r="S172" i="1"/>
  <c r="R194" i="1" s="1"/>
  <c r="R235" i="1" s="1"/>
  <c r="R335" i="1" s="1"/>
  <c r="O438" i="1" l="1"/>
  <c r="O437" i="1" s="1"/>
  <c r="P421" i="1"/>
  <c r="P455" i="1" s="1"/>
  <c r="O419" i="1"/>
  <c r="O424" i="1" s="1"/>
  <c r="O44" i="2" s="1"/>
  <c r="O50" i="2" s="1"/>
  <c r="O60" i="2" s="1"/>
  <c r="K371" i="1"/>
  <c r="K383" i="1" s="1"/>
  <c r="K400" i="1" s="1"/>
  <c r="K402" i="1" s="1"/>
  <c r="L401" i="1" s="1"/>
  <c r="K345" i="1"/>
  <c r="K362" i="1" s="1"/>
  <c r="K364" i="1" s="1"/>
  <c r="L363" i="1" s="1"/>
  <c r="W227" i="1"/>
  <c r="V295" i="1"/>
  <c r="V307" i="1" s="1"/>
  <c r="V324" i="1" s="1"/>
  <c r="V326" i="1" s="1"/>
  <c r="W325" i="1" s="1"/>
  <c r="L287" i="1"/>
  <c r="L333" i="1"/>
  <c r="AA234" i="1"/>
  <c r="AA335" i="1"/>
  <c r="AA265" i="1"/>
  <c r="R334" i="1"/>
  <c r="R373" i="1"/>
  <c r="R372" i="1" s="1"/>
  <c r="W182" i="1"/>
  <c r="W343" i="1" s="1"/>
  <c r="W381" i="1" s="1"/>
  <c r="V246" i="1"/>
  <c r="R234" i="1"/>
  <c r="R265" i="1"/>
  <c r="T274" i="1"/>
  <c r="M284" i="1"/>
  <c r="M257" i="1"/>
  <c r="N254" i="1"/>
  <c r="N282" i="1"/>
  <c r="N444" i="1" s="1"/>
  <c r="P273" i="1"/>
  <c r="P249" i="1"/>
  <c r="U276" i="1"/>
  <c r="U244" i="1"/>
  <c r="Q243" i="1"/>
  <c r="Q264" i="1"/>
  <c r="O252" i="1"/>
  <c r="O279" i="1"/>
  <c r="U171" i="1"/>
  <c r="T172" i="1"/>
  <c r="S194" i="1" s="1"/>
  <c r="S235" i="1" s="1"/>
  <c r="S335" i="1" s="1"/>
  <c r="S173" i="1"/>
  <c r="R174" i="1"/>
  <c r="P419" i="1" l="1"/>
  <c r="P424" i="1" s="1"/>
  <c r="P44" i="2" s="1"/>
  <c r="P50" i="2" s="1"/>
  <c r="P60" i="2" s="1"/>
  <c r="P438" i="1"/>
  <c r="P437" i="1" s="1"/>
  <c r="Q421" i="1"/>
  <c r="Q455" i="1" s="1"/>
  <c r="S334" i="1"/>
  <c r="S373" i="1"/>
  <c r="S372" i="1" s="1"/>
  <c r="M287" i="1"/>
  <c r="M333" i="1"/>
  <c r="AA373" i="1"/>
  <c r="AA264" i="1"/>
  <c r="AA243" i="1"/>
  <c r="AA273" i="1" s="1"/>
  <c r="L371" i="1"/>
  <c r="L383" i="1" s="1"/>
  <c r="L400" i="1" s="1"/>
  <c r="L402" i="1" s="1"/>
  <c r="M401" i="1" s="1"/>
  <c r="L345" i="1"/>
  <c r="L362" i="1" s="1"/>
  <c r="L364" i="1" s="1"/>
  <c r="M363" i="1" s="1"/>
  <c r="X227" i="1"/>
  <c r="W295" i="1"/>
  <c r="W307" i="1" s="1"/>
  <c r="W324" i="1" s="1"/>
  <c r="W326" i="1" s="1"/>
  <c r="X325" i="1" s="1"/>
  <c r="S234" i="1"/>
  <c r="S265" i="1"/>
  <c r="Q273" i="1"/>
  <c r="Q249" i="1"/>
  <c r="R243" i="1"/>
  <c r="R264" i="1"/>
  <c r="P252" i="1"/>
  <c r="P279" i="1"/>
  <c r="U274" i="1"/>
  <c r="V276" i="1"/>
  <c r="V244" i="1"/>
  <c r="O254" i="1"/>
  <c r="O282" i="1"/>
  <c r="O444" i="1" s="1"/>
  <c r="N284" i="1"/>
  <c r="N257" i="1"/>
  <c r="X182" i="1"/>
  <c r="X343" i="1" s="1"/>
  <c r="X381" i="1" s="1"/>
  <c r="W246" i="1"/>
  <c r="T173" i="1"/>
  <c r="S174" i="1"/>
  <c r="V171" i="1"/>
  <c r="U172" i="1"/>
  <c r="T194" i="1" s="1"/>
  <c r="T235" i="1" s="1"/>
  <c r="T335" i="1" s="1"/>
  <c r="Q419" i="1" l="1"/>
  <c r="Q424" i="1" s="1"/>
  <c r="Q44" i="2" s="1"/>
  <c r="Q50" i="2" s="1"/>
  <c r="Q60" i="2" s="1"/>
  <c r="Q438" i="1"/>
  <c r="Q437" i="1" s="1"/>
  <c r="AA421" i="1"/>
  <c r="AA419" i="1" s="1"/>
  <c r="R421" i="1"/>
  <c r="R455" i="1" s="1"/>
  <c r="N287" i="1"/>
  <c r="N333" i="1"/>
  <c r="Y227" i="1"/>
  <c r="X295" i="1"/>
  <c r="X307" i="1" s="1"/>
  <c r="X324" i="1" s="1"/>
  <c r="X326" i="1" s="1"/>
  <c r="Y325" i="1" s="1"/>
  <c r="M371" i="1"/>
  <c r="M383" i="1" s="1"/>
  <c r="M400" i="1" s="1"/>
  <c r="M402" i="1" s="1"/>
  <c r="N401" i="1" s="1"/>
  <c r="M345" i="1"/>
  <c r="M362" i="1" s="1"/>
  <c r="M364" i="1" s="1"/>
  <c r="N363" i="1" s="1"/>
  <c r="T334" i="1"/>
  <c r="T373" i="1"/>
  <c r="T372" i="1" s="1"/>
  <c r="V274" i="1"/>
  <c r="Q252" i="1"/>
  <c r="Q279" i="1"/>
  <c r="P254" i="1"/>
  <c r="P282" i="1"/>
  <c r="P444" i="1" s="1"/>
  <c r="T265" i="1"/>
  <c r="T234" i="1"/>
  <c r="W276" i="1"/>
  <c r="W244" i="1"/>
  <c r="Y182" i="1"/>
  <c r="Y343" i="1" s="1"/>
  <c r="Y381" i="1" s="1"/>
  <c r="X246" i="1"/>
  <c r="O284" i="1"/>
  <c r="O257" i="1"/>
  <c r="R273" i="1"/>
  <c r="R249" i="1"/>
  <c r="S264" i="1"/>
  <c r="S243" i="1"/>
  <c r="W171" i="1"/>
  <c r="V172" i="1"/>
  <c r="U194" i="1" s="1"/>
  <c r="U235" i="1" s="1"/>
  <c r="U335" i="1" s="1"/>
  <c r="U173" i="1"/>
  <c r="T174" i="1"/>
  <c r="AA438" i="1" l="1"/>
  <c r="AA437" i="1" s="1"/>
  <c r="AA455" i="1"/>
  <c r="R438" i="1"/>
  <c r="R437" i="1" s="1"/>
  <c r="R419" i="1"/>
  <c r="R424" i="1" s="1"/>
  <c r="R44" i="2" s="1"/>
  <c r="R50" i="2" s="1"/>
  <c r="R60" i="2" s="1"/>
  <c r="S421" i="1"/>
  <c r="S419" i="1" s="1"/>
  <c r="S424" i="1" s="1"/>
  <c r="S44" i="2" s="1"/>
  <c r="S50" i="2" s="1"/>
  <c r="S60" i="2" s="1"/>
  <c r="O287" i="1"/>
  <c r="O333" i="1"/>
  <c r="Z227" i="1"/>
  <c r="Y295" i="1"/>
  <c r="Y307" i="1" s="1"/>
  <c r="Y324" i="1" s="1"/>
  <c r="Y326" i="1" s="1"/>
  <c r="Z325" i="1" s="1"/>
  <c r="U334" i="1"/>
  <c r="U373" i="1"/>
  <c r="U372" i="1" s="1"/>
  <c r="N371" i="1"/>
  <c r="N383" i="1" s="1"/>
  <c r="N400" i="1" s="1"/>
  <c r="N402" i="1" s="1"/>
  <c r="O401" i="1" s="1"/>
  <c r="N345" i="1"/>
  <c r="N362" i="1" s="1"/>
  <c r="N364" i="1" s="1"/>
  <c r="O363" i="1" s="1"/>
  <c r="U265" i="1"/>
  <c r="U234" i="1"/>
  <c r="X276" i="1"/>
  <c r="X244" i="1"/>
  <c r="T264" i="1"/>
  <c r="T243" i="1"/>
  <c r="Z182" i="1"/>
  <c r="Z343" i="1" s="1"/>
  <c r="Z381" i="1" s="1"/>
  <c r="Y246" i="1"/>
  <c r="Q254" i="1"/>
  <c r="Q282" i="1"/>
  <c r="Q444" i="1" s="1"/>
  <c r="S273" i="1"/>
  <c r="S249" i="1"/>
  <c r="W274" i="1"/>
  <c r="R252" i="1"/>
  <c r="R279" i="1"/>
  <c r="P284" i="1"/>
  <c r="P257" i="1"/>
  <c r="V173" i="1"/>
  <c r="U174" i="1"/>
  <c r="X171" i="1"/>
  <c r="W172" i="1"/>
  <c r="V194" i="1" s="1"/>
  <c r="V235" i="1" s="1"/>
  <c r="V335" i="1" s="1"/>
  <c r="S438" i="1" l="1"/>
  <c r="S437" i="1" s="1"/>
  <c r="T421" i="1"/>
  <c r="T455" i="1" s="1"/>
  <c r="S455" i="1"/>
  <c r="O371" i="1"/>
  <c r="O383" i="1" s="1"/>
  <c r="O400" i="1" s="1"/>
  <c r="O402" i="1" s="1"/>
  <c r="P401" i="1" s="1"/>
  <c r="O345" i="1"/>
  <c r="O362" i="1" s="1"/>
  <c r="O364" i="1" s="1"/>
  <c r="P363" i="1" s="1"/>
  <c r="AA227" i="1"/>
  <c r="AA295" i="1" s="1"/>
  <c r="AA307" i="1" s="1"/>
  <c r="AA324" i="1" s="1"/>
  <c r="Z295" i="1"/>
  <c r="Z307" i="1" s="1"/>
  <c r="Z324" i="1" s="1"/>
  <c r="Z326" i="1" s="1"/>
  <c r="AA325" i="1" s="1"/>
  <c r="V334" i="1"/>
  <c r="V373" i="1"/>
  <c r="V372" i="1" s="1"/>
  <c r="P287" i="1"/>
  <c r="P333" i="1"/>
  <c r="R254" i="1"/>
  <c r="R282" i="1"/>
  <c r="R444" i="1" s="1"/>
  <c r="X274" i="1"/>
  <c r="V265" i="1"/>
  <c r="V234" i="1"/>
  <c r="AA182" i="1"/>
  <c r="Z246" i="1"/>
  <c r="S252" i="1"/>
  <c r="S279" i="1"/>
  <c r="Q284" i="1"/>
  <c r="Q257" i="1"/>
  <c r="Y276" i="1"/>
  <c r="Y244" i="1"/>
  <c r="T273" i="1"/>
  <c r="T249" i="1"/>
  <c r="U264" i="1"/>
  <c r="U243" i="1"/>
  <c r="Y171" i="1"/>
  <c r="X172" i="1"/>
  <c r="W194" i="1" s="1"/>
  <c r="W235" i="1" s="1"/>
  <c r="W335" i="1" s="1"/>
  <c r="W173" i="1"/>
  <c r="V174" i="1"/>
  <c r="T419" i="1" l="1"/>
  <c r="T424" i="1" s="1"/>
  <c r="T44" i="2" s="1"/>
  <c r="T50" i="2" s="1"/>
  <c r="T60" i="2" s="1"/>
  <c r="T438" i="1"/>
  <c r="T437" i="1" s="1"/>
  <c r="U421" i="1"/>
  <c r="U455" i="1" s="1"/>
  <c r="AA326" i="1"/>
  <c r="W334" i="1"/>
  <c r="W373" i="1"/>
  <c r="W372" i="1" s="1"/>
  <c r="Q287" i="1"/>
  <c r="Q333" i="1"/>
  <c r="P371" i="1"/>
  <c r="P383" i="1" s="1"/>
  <c r="P400" i="1" s="1"/>
  <c r="P402" i="1" s="1"/>
  <c r="Q401" i="1" s="1"/>
  <c r="P345" i="1"/>
  <c r="P362" i="1" s="1"/>
  <c r="P364" i="1" s="1"/>
  <c r="Q363" i="1" s="1"/>
  <c r="AA246" i="1"/>
  <c r="AA276" i="1" s="1"/>
  <c r="AA343" i="1"/>
  <c r="W234" i="1"/>
  <c r="W265" i="1"/>
  <c r="T252" i="1"/>
  <c r="T279" i="1"/>
  <c r="Z244" i="1"/>
  <c r="Z276" i="1"/>
  <c r="U273" i="1"/>
  <c r="U249" i="1"/>
  <c r="Y274" i="1"/>
  <c r="V264" i="1"/>
  <c r="V243" i="1"/>
  <c r="S254" i="1"/>
  <c r="S282" i="1"/>
  <c r="S444" i="1" s="1"/>
  <c r="R284" i="1"/>
  <c r="R257" i="1"/>
  <c r="X173" i="1"/>
  <c r="W174" i="1"/>
  <c r="Z171" i="1"/>
  <c r="Y172" i="1"/>
  <c r="X194" i="1" s="1"/>
  <c r="X235" i="1" s="1"/>
  <c r="X335" i="1" s="1"/>
  <c r="U419" i="1" l="1"/>
  <c r="U424" i="1" s="1"/>
  <c r="U44" i="2" s="1"/>
  <c r="U50" i="2" s="1"/>
  <c r="U60" i="2" s="1"/>
  <c r="U438" i="1"/>
  <c r="U437" i="1" s="1"/>
  <c r="V421" i="1"/>
  <c r="V419" i="1" s="1"/>
  <c r="V424" i="1" s="1"/>
  <c r="V44" i="2" s="1"/>
  <c r="V50" i="2" s="1"/>
  <c r="V60" i="2" s="1"/>
  <c r="AA244" i="1"/>
  <c r="AA249" i="1" s="1"/>
  <c r="Q371" i="1"/>
  <c r="Q383" i="1" s="1"/>
  <c r="Q400" i="1" s="1"/>
  <c r="Q402" i="1" s="1"/>
  <c r="R401" i="1" s="1"/>
  <c r="Q345" i="1"/>
  <c r="Q362" i="1" s="1"/>
  <c r="Q364" i="1" s="1"/>
  <c r="R363" i="1" s="1"/>
  <c r="AA381" i="1"/>
  <c r="AA372" i="1" s="1"/>
  <c r="AA334" i="1"/>
  <c r="X334" i="1"/>
  <c r="X373" i="1"/>
  <c r="X372" i="1" s="1"/>
  <c r="R287" i="1"/>
  <c r="R333" i="1"/>
  <c r="U252" i="1"/>
  <c r="U279" i="1"/>
  <c r="X265" i="1"/>
  <c r="X234" i="1"/>
  <c r="V273" i="1"/>
  <c r="V249" i="1"/>
  <c r="S284" i="1"/>
  <c r="S257" i="1"/>
  <c r="T254" i="1"/>
  <c r="T282" i="1"/>
  <c r="T444" i="1" s="1"/>
  <c r="Z274" i="1"/>
  <c r="W264" i="1"/>
  <c r="W243" i="1"/>
  <c r="AA171" i="1"/>
  <c r="AA172" i="1" s="1"/>
  <c r="Z194" i="1" s="1"/>
  <c r="Z235" i="1" s="1"/>
  <c r="Z335" i="1" s="1"/>
  <c r="Z172" i="1"/>
  <c r="Y194" i="1" s="1"/>
  <c r="Y235" i="1" s="1"/>
  <c r="Y335" i="1" s="1"/>
  <c r="Y173" i="1"/>
  <c r="X174" i="1"/>
  <c r="AA274" i="1" l="1"/>
  <c r="V438" i="1"/>
  <c r="V437" i="1" s="1"/>
  <c r="V455" i="1"/>
  <c r="W421" i="1"/>
  <c r="W419" i="1" s="1"/>
  <c r="W424" i="1" s="1"/>
  <c r="W44" i="2" s="1"/>
  <c r="W50" i="2" s="1"/>
  <c r="W60" i="2" s="1"/>
  <c r="R371" i="1"/>
  <c r="R383" i="1" s="1"/>
  <c r="R400" i="1" s="1"/>
  <c r="R402" i="1" s="1"/>
  <c r="S401" i="1" s="1"/>
  <c r="R345" i="1"/>
  <c r="R362" i="1" s="1"/>
  <c r="R364" i="1" s="1"/>
  <c r="S363" i="1" s="1"/>
  <c r="S287" i="1"/>
  <c r="S333" i="1"/>
  <c r="Z334" i="1"/>
  <c r="Z373" i="1"/>
  <c r="Z372" i="1" s="1"/>
  <c r="Y334" i="1"/>
  <c r="Y373" i="1"/>
  <c r="Y372" i="1" s="1"/>
  <c r="W273" i="1"/>
  <c r="W249" i="1"/>
  <c r="V252" i="1"/>
  <c r="V279" i="1"/>
  <c r="X264" i="1"/>
  <c r="X243" i="1"/>
  <c r="T257" i="1"/>
  <c r="T284" i="1"/>
  <c r="Y234" i="1"/>
  <c r="Y265" i="1"/>
  <c r="Z234" i="1"/>
  <c r="Z265" i="1"/>
  <c r="AA252" i="1"/>
  <c r="AA279" i="1"/>
  <c r="U254" i="1"/>
  <c r="U282" i="1"/>
  <c r="U444" i="1" s="1"/>
  <c r="Z173" i="1"/>
  <c r="Y174" i="1"/>
  <c r="W455" i="1" l="1"/>
  <c r="W438" i="1"/>
  <c r="W437" i="1" s="1"/>
  <c r="X421" i="1"/>
  <c r="X419" i="1" s="1"/>
  <c r="X424" i="1" s="1"/>
  <c r="X44" i="2" s="1"/>
  <c r="X50" i="2" s="1"/>
  <c r="X60" i="2" s="1"/>
  <c r="S371" i="1"/>
  <c r="S383" i="1" s="1"/>
  <c r="S400" i="1" s="1"/>
  <c r="S402" i="1" s="1"/>
  <c r="T401" i="1" s="1"/>
  <c r="S345" i="1"/>
  <c r="S362" i="1" s="1"/>
  <c r="S364" i="1" s="1"/>
  <c r="T363" i="1" s="1"/>
  <c r="T287" i="1"/>
  <c r="T333" i="1"/>
  <c r="U284" i="1"/>
  <c r="U257" i="1"/>
  <c r="V254" i="1"/>
  <c r="V282" i="1"/>
  <c r="V444" i="1" s="1"/>
  <c r="X273" i="1"/>
  <c r="X249" i="1"/>
  <c r="W252" i="1"/>
  <c r="W279" i="1"/>
  <c r="Y243" i="1"/>
  <c r="Y264" i="1"/>
  <c r="Z243" i="1"/>
  <c r="Z264" i="1"/>
  <c r="AA254" i="1"/>
  <c r="AA282" i="1"/>
  <c r="AA173" i="1"/>
  <c r="AA174" i="1" s="1"/>
  <c r="Z174" i="1"/>
  <c r="X438" i="1" l="1"/>
  <c r="X437" i="1" s="1"/>
  <c r="X455" i="1"/>
  <c r="Y421" i="1"/>
  <c r="Y419" i="1" s="1"/>
  <c r="Y424" i="1" s="1"/>
  <c r="Y44" i="2" s="1"/>
  <c r="Y50" i="2" s="1"/>
  <c r="Y60" i="2" s="1"/>
  <c r="Z421" i="1"/>
  <c r="Z455" i="1" s="1"/>
  <c r="U287" i="1"/>
  <c r="U333" i="1"/>
  <c r="T371" i="1"/>
  <c r="T383" i="1" s="1"/>
  <c r="T400" i="1" s="1"/>
  <c r="T402" i="1" s="1"/>
  <c r="U401" i="1" s="1"/>
  <c r="T345" i="1"/>
  <c r="T362" i="1" s="1"/>
  <c r="T364" i="1" s="1"/>
  <c r="U363" i="1" s="1"/>
  <c r="Z273" i="1"/>
  <c r="Z249" i="1"/>
  <c r="W254" i="1"/>
  <c r="W282" i="1"/>
  <c r="W444" i="1" s="1"/>
  <c r="V284" i="1"/>
  <c r="V257" i="1"/>
  <c r="X252" i="1"/>
  <c r="X279" i="1"/>
  <c r="AA284" i="1"/>
  <c r="AA257" i="1"/>
  <c r="Y273" i="1"/>
  <c r="Y249" i="1"/>
  <c r="Z438" i="1" l="1"/>
  <c r="Z437" i="1" s="1"/>
  <c r="Z419" i="1"/>
  <c r="Z424" i="1" s="1"/>
  <c r="Z44" i="2" s="1"/>
  <c r="Z50" i="2" s="1"/>
  <c r="Z60" i="2" s="1"/>
  <c r="Y438" i="1"/>
  <c r="Y437" i="1" s="1"/>
  <c r="Y455" i="1"/>
  <c r="C459" i="1" s="1"/>
  <c r="V287" i="1"/>
  <c r="V333" i="1"/>
  <c r="U371" i="1"/>
  <c r="U383" i="1" s="1"/>
  <c r="U400" i="1" s="1"/>
  <c r="U402" i="1" s="1"/>
  <c r="V401" i="1" s="1"/>
  <c r="U345" i="1"/>
  <c r="U362" i="1" s="1"/>
  <c r="U364" i="1" s="1"/>
  <c r="V363" i="1" s="1"/>
  <c r="AA287" i="1"/>
  <c r="AA333" i="1"/>
  <c r="Y252" i="1"/>
  <c r="Y279" i="1"/>
  <c r="X254" i="1"/>
  <c r="X282" i="1"/>
  <c r="X444" i="1" s="1"/>
  <c r="W284" i="1"/>
  <c r="W257" i="1"/>
  <c r="Z252" i="1"/>
  <c r="Z279" i="1"/>
  <c r="AA371" i="1" l="1"/>
  <c r="AA383" i="1" s="1"/>
  <c r="AA400" i="1" s="1"/>
  <c r="C408" i="1" s="1"/>
  <c r="C407" i="1" s="1"/>
  <c r="AA417" i="1" s="1"/>
  <c r="AA456" i="1" s="1"/>
  <c r="AA345" i="1"/>
  <c r="AA362" i="1" s="1"/>
  <c r="V371" i="1"/>
  <c r="V383" i="1" s="1"/>
  <c r="V400" i="1" s="1"/>
  <c r="V402" i="1" s="1"/>
  <c r="W401" i="1" s="1"/>
  <c r="V345" i="1"/>
  <c r="V362" i="1" s="1"/>
  <c r="V364" i="1" s="1"/>
  <c r="W363" i="1" s="1"/>
  <c r="W287" i="1"/>
  <c r="W333" i="1"/>
  <c r="Z254" i="1"/>
  <c r="Z282" i="1"/>
  <c r="Z444" i="1" s="1"/>
  <c r="X257" i="1"/>
  <c r="X284" i="1"/>
  <c r="Y254" i="1"/>
  <c r="Y282" i="1"/>
  <c r="Y444" i="1" s="1"/>
  <c r="C460" i="1" l="1"/>
  <c r="C461" i="1" s="1"/>
  <c r="AA415" i="1"/>
  <c r="AA424" i="1" s="1"/>
  <c r="AA44" i="2" s="1"/>
  <c r="AA435" i="1"/>
  <c r="AA433" i="1" s="1"/>
  <c r="AA444" i="1" s="1"/>
  <c r="C446" i="1" s="1"/>
  <c r="C427" i="1"/>
  <c r="W371" i="1"/>
  <c r="W383" i="1" s="1"/>
  <c r="W400" i="1" s="1"/>
  <c r="W402" i="1" s="1"/>
  <c r="X401" i="1" s="1"/>
  <c r="W345" i="1"/>
  <c r="W362" i="1" s="1"/>
  <c r="W364" i="1" s="1"/>
  <c r="X363" i="1" s="1"/>
  <c r="X287" i="1"/>
  <c r="X333" i="1"/>
  <c r="Z284" i="1"/>
  <c r="Z257" i="1"/>
  <c r="Y284" i="1"/>
  <c r="Y257" i="1"/>
  <c r="C462" i="1" l="1"/>
  <c r="C463" i="1" s="1"/>
  <c r="C465" i="1" s="1"/>
  <c r="C467" i="1" s="1"/>
  <c r="C468" i="1" s="1"/>
  <c r="C426" i="1"/>
  <c r="C7" i="3" s="1"/>
  <c r="AA50" i="2"/>
  <c r="C37" i="2" s="1"/>
  <c r="C36" i="2" s="1"/>
  <c r="AA59" i="2" s="1"/>
  <c r="AA60" i="2" s="1"/>
  <c r="C447" i="1"/>
  <c r="Y287" i="1"/>
  <c r="Y333" i="1"/>
  <c r="Z287" i="1"/>
  <c r="Z333" i="1"/>
  <c r="X371" i="1"/>
  <c r="X383" i="1" s="1"/>
  <c r="X400" i="1" s="1"/>
  <c r="X402" i="1" s="1"/>
  <c r="Y401" i="1" s="1"/>
  <c r="X345" i="1"/>
  <c r="X362" i="1" s="1"/>
  <c r="X364" i="1" s="1"/>
  <c r="Y363" i="1" s="1"/>
  <c r="C61" i="2" l="1"/>
  <c r="C28" i="3" s="1"/>
  <c r="C62" i="2"/>
  <c r="Z371" i="1"/>
  <c r="Z383" i="1" s="1"/>
  <c r="Z400" i="1" s="1"/>
  <c r="Z345" i="1"/>
  <c r="Z362" i="1" s="1"/>
  <c r="Y371" i="1"/>
  <c r="Y383" i="1" s="1"/>
  <c r="Y400" i="1" s="1"/>
  <c r="Y402" i="1" s="1"/>
  <c r="Z401" i="1" s="1"/>
  <c r="Y345" i="1"/>
  <c r="Y362" i="1" s="1"/>
  <c r="Y364" i="1" s="1"/>
  <c r="Z363" i="1" s="1"/>
  <c r="Z364" i="1" l="1"/>
  <c r="AA363" i="1" s="1"/>
  <c r="AA364" i="1" s="1"/>
  <c r="Z402" i="1"/>
  <c r="AA401" i="1" s="1"/>
  <c r="AA402" i="1" s="1"/>
</calcChain>
</file>

<file path=xl/sharedStrings.xml><?xml version="1.0" encoding="utf-8"?>
<sst xmlns="http://schemas.openxmlformats.org/spreadsheetml/2006/main" count="525" uniqueCount="279">
  <si>
    <t>Nakłady inwestycyjne</t>
  </si>
  <si>
    <t>Roboty budowlane</t>
  </si>
  <si>
    <t>1. Roboty budowlane</t>
  </si>
  <si>
    <t>2. Nadzór inwestorski</t>
  </si>
  <si>
    <t>3. Audyt energetyczny powykonawczy</t>
  </si>
  <si>
    <t>4. Promocja projektu</t>
  </si>
  <si>
    <t xml:space="preserve">  - koszty kwalifikowalne netto</t>
  </si>
  <si>
    <t xml:space="preserve">  - koszty niekwalifikowalne netto</t>
  </si>
  <si>
    <t>Kwalifikowalność VAT</t>
  </si>
  <si>
    <t>T</t>
  </si>
  <si>
    <t>N</t>
  </si>
  <si>
    <t>5. Razem</t>
  </si>
  <si>
    <t>6. Razem - kwalifikowalne / niekwalifikowalne</t>
  </si>
  <si>
    <t>Koszty kwalifikowalne</t>
  </si>
  <si>
    <t>Koszty niekwalifikowalne</t>
  </si>
  <si>
    <t>Kategoria</t>
  </si>
  <si>
    <t xml:space="preserve">   - VAT od kosztów kwalifikowalnych (23%)</t>
  </si>
  <si>
    <t xml:space="preserve">   - VAT od kosztów niekwalifikowalnych (23%)</t>
  </si>
  <si>
    <t>Razem</t>
  </si>
  <si>
    <t xml:space="preserve">   - VAT kwalifikowalny</t>
  </si>
  <si>
    <t xml:space="preserve">   - VAT niekwalifikowalny</t>
  </si>
  <si>
    <t>Wnioskowany poziom dofinansowania</t>
  </si>
  <si>
    <t xml:space="preserve">  2. Dotacja UE</t>
  </si>
  <si>
    <t xml:space="preserve">  1. Środki własne kwalifikowalne</t>
  </si>
  <si>
    <t xml:space="preserve">  3. Środki własne niekwalifikowalne</t>
  </si>
  <si>
    <t>Struktura finansowania projektu</t>
  </si>
  <si>
    <t>lipiec 2016</t>
  </si>
  <si>
    <t>czerwiec 2016</t>
  </si>
  <si>
    <t>maj 2016</t>
  </si>
  <si>
    <t>kwiecień 2016</t>
  </si>
  <si>
    <t>marzec 2016</t>
  </si>
  <si>
    <t>luty 2016</t>
  </si>
  <si>
    <t>Data</t>
  </si>
  <si>
    <t>Kurs</t>
  </si>
  <si>
    <t>Kurs średni (6 m-cy)</t>
  </si>
  <si>
    <t>Wartość kosztów kwalifikowalnych PLN</t>
  </si>
  <si>
    <t>Wartość kosztów kwalifikowalnych EUR</t>
  </si>
  <si>
    <t>A. Przychody netto ze sprzedaży produktów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</si>
  <si>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</si>
  <si>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</si>
  <si>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</si>
  <si>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</si>
  <si>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</si>
  <si>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</si>
  <si>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</si>
  <si>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</si>
  <si>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</si>
  <si>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</si>
  <si>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</si>
  <si>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</si>
  <si>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</si>
  <si>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</si>
  <si>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</si>
  <si>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</si>
  <si>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</si>
  <si>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</si>
  <si>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</si>
  <si>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</t>
  </si>
  <si>
    <t>K. Zysk (strata) brutto (I±J)</t>
  </si>
  <si>
    <t>L. Podatek dochodowy</t>
  </si>
  <si>
    <t>M. Pozostałe obowiązkowe zmniejszenia zysku (zwiększenia straty)</t>
  </si>
  <si>
    <t>N. Zysk (strata) netto (K-L-M)</t>
  </si>
  <si>
    <t xml:space="preserve">    - stopa dofinansowania kosztów kwalifikowalnych</t>
  </si>
  <si>
    <t xml:space="preserve">    - stopa dofinansowania kosztów ogółem</t>
  </si>
  <si>
    <t>Rachunek zysków i strat</t>
  </si>
  <si>
    <t>Rok</t>
  </si>
  <si>
    <r>
      <t>Jednostkowe koszty CO</t>
    </r>
    <r>
      <rPr>
        <vertAlign val="sub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 xml:space="preserve"> (EUR/tCO</t>
    </r>
    <r>
      <rPr>
        <vertAlign val="sub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)</t>
    </r>
  </si>
  <si>
    <r>
      <t>Jednostkowe koszty CO</t>
    </r>
    <r>
      <rPr>
        <vertAlign val="sub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 xml:space="preserve"> (PLN/tCO</t>
    </r>
    <r>
      <rPr>
        <vertAlign val="sub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)</t>
    </r>
  </si>
  <si>
    <t>Średni roczny kurs EUR z 2015 r.</t>
  </si>
  <si>
    <t>Do wyliczenia korzyści społecznych z tytułu zmniejszenia emisji gazów cieplarnianych przyjęto wskaźniki jednostkowe kosztów zgodnie z Przewodnikiem po analizie kosztów i korzyści projektów inwestycyjnych (2014 XII)</t>
  </si>
  <si>
    <r>
      <t>Spadek emisji gazów cieplarnianych (ton CO</t>
    </r>
    <r>
      <rPr>
        <vertAlign val="sub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)</t>
    </r>
  </si>
  <si>
    <r>
      <t>Jednostkowe koszty CO</t>
    </r>
    <r>
      <rPr>
        <b/>
        <vertAlign val="subscript"/>
        <sz val="9"/>
        <color rgb="FFFF0000"/>
        <rFont val="Calibri"/>
        <family val="2"/>
        <charset val="238"/>
      </rPr>
      <t>2</t>
    </r>
    <r>
      <rPr>
        <b/>
        <sz val="9"/>
        <color rgb="FFFF0000"/>
        <rFont val="Calibri"/>
        <family val="2"/>
        <charset val="238"/>
      </rPr>
      <t xml:space="preserve"> (do analizy kosztów-korzyści)</t>
    </r>
  </si>
  <si>
    <t>Spadek emisji gazów cieplarnianych</t>
  </si>
  <si>
    <t>Rachunek zysków i strat (wariant porównawczy)</t>
  </si>
  <si>
    <t>Wartość projektu (EUR)</t>
  </si>
  <si>
    <t>Źródła finansowania projektu</t>
  </si>
  <si>
    <t>Harmonogram rzeczowo-finansowy (PLN)</t>
  </si>
  <si>
    <t>Zestawienie efektów projektu</t>
  </si>
  <si>
    <t>Roczne zmniejszenie zapotrzebowania na energię finalną (MWh/rok)</t>
  </si>
  <si>
    <t>Roczna oszczędność kosztów energii (zł/rok)</t>
  </si>
  <si>
    <r>
      <t>Powierzchnia użytkowa ogrzewana (m</t>
    </r>
    <r>
      <rPr>
        <vertAlign val="super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)</t>
    </r>
  </si>
  <si>
    <r>
      <t>Roczne zapotrzebowanie na nieodnawialną energię pierwotną EP (kWh/m</t>
    </r>
    <r>
      <rPr>
        <vertAlign val="super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rok)</t>
    </r>
  </si>
  <si>
    <r>
      <t>Szacowany spadek emisji gazów cieplarnianych (tony ekwiwalentu CO</t>
    </r>
    <r>
      <rPr>
        <vertAlign val="sub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/rok)</t>
    </r>
  </si>
  <si>
    <t>Efekt</t>
  </si>
  <si>
    <t>Wartość</t>
  </si>
  <si>
    <t>Wskaźniki projektu</t>
  </si>
  <si>
    <t>Wskaźniki</t>
  </si>
  <si>
    <t>Jednostka miary</t>
  </si>
  <si>
    <t>Wartość bazowa</t>
  </si>
  <si>
    <t>Wartość w pierwszym roku po zakończeniu realizacji projektu</t>
  </si>
  <si>
    <t>Szacowany spadek emisji gazów cieplarnianych</t>
  </si>
  <si>
    <t>Zmniejszenie zużycia energii pierwotnej w budynkach publicznych</t>
  </si>
  <si>
    <t>Oszczędność kosztów zaopatrzenia w energię</t>
  </si>
  <si>
    <t>zł/rok</t>
  </si>
  <si>
    <t>kWh/rok</t>
  </si>
  <si>
    <r>
      <t>tony ekwiwalentu CO</t>
    </r>
    <r>
      <rPr>
        <vertAlign val="subscript"/>
        <sz val="8"/>
        <color theme="1"/>
        <rFont val="Calibri"/>
        <family val="2"/>
        <charset val="238"/>
      </rPr>
      <t>2</t>
    </r>
  </si>
  <si>
    <t>Zmniejszenie zużycia energii końcowej</t>
  </si>
  <si>
    <t>GJ/rok</t>
  </si>
  <si>
    <t>Zmiana</t>
  </si>
  <si>
    <t>Nakłady i koszty operacyjne projektu</t>
  </si>
  <si>
    <t>Rodzaj</t>
  </si>
  <si>
    <t>Koszty konserwacji (0,85%)</t>
  </si>
  <si>
    <t>Kalkulacja wskaźnika DGC</t>
  </si>
  <si>
    <t>Stan istniejący</t>
  </si>
  <si>
    <t>W1</t>
  </si>
  <si>
    <t>W2</t>
  </si>
  <si>
    <t>W3</t>
  </si>
  <si>
    <t>W4</t>
  </si>
  <si>
    <t>Oszczędność kosztów</t>
  </si>
  <si>
    <t>Zapotrzebowanie na energię (GJ)</t>
  </si>
  <si>
    <t>Oszczędność energii (GJ)</t>
  </si>
  <si>
    <t>Oszczędność (%)</t>
  </si>
  <si>
    <t>DGC (PLN/GJ)</t>
  </si>
  <si>
    <t>Razem zdyskontowane</t>
  </si>
  <si>
    <t>Miara rezultatu - oszczędność GJ</t>
  </si>
  <si>
    <t>Plan finansowy</t>
  </si>
  <si>
    <t>1. Nakłady inwestycyjne</t>
  </si>
  <si>
    <t>2. Nakłady odtworzeniowe (5%)</t>
  </si>
  <si>
    <t>Budynki użyteczności publicznej</t>
  </si>
  <si>
    <t>Założenia</t>
  </si>
  <si>
    <t>Amortyzacja</t>
  </si>
  <si>
    <t>Amortyzacja roczna</t>
  </si>
  <si>
    <t>Umorzenie</t>
  </si>
  <si>
    <t>Wartość brutto środka trwałego</t>
  </si>
  <si>
    <t>Wartość netto środka trwałego</t>
  </si>
  <si>
    <t>Plan amortyzacji - Projekt</t>
  </si>
  <si>
    <t>Rozliczenie dotacji UE</t>
  </si>
  <si>
    <t>Wpłwy dotacji</t>
  </si>
  <si>
    <t>Dotacja narastająco</t>
  </si>
  <si>
    <t>Rozliczenie dotacji w czasie</t>
  </si>
  <si>
    <t>Wartość rezydualna</t>
  </si>
  <si>
    <t>Finansowa wartość rezydualna</t>
  </si>
  <si>
    <t>Liczba lat funkcjonowania projektu poza okresem referencyjnym</t>
  </si>
  <si>
    <t>Ekonomiczna wartość rezydualna</t>
  </si>
  <si>
    <t>Koszt jednostkowy niezdyskontowany</t>
  </si>
  <si>
    <t>Rachunek zysków i strat - Podmiot bez projektu</t>
  </si>
  <si>
    <t>Przychody operacyjne projektu</t>
  </si>
  <si>
    <t>Przychody Projektu</t>
  </si>
  <si>
    <t>Zużycie materiałów i energii (oszczędność)</t>
  </si>
  <si>
    <t>Usługi obce (serwis)</t>
  </si>
  <si>
    <t>Koszty operacyjne i finansowe projektu</t>
  </si>
  <si>
    <t>Koszty finansowe</t>
  </si>
  <si>
    <t>Rachunek zysków i strat - Podmiot z projektem</t>
  </si>
  <si>
    <t>Rachunek zysków i strat - Projekt UE</t>
  </si>
  <si>
    <t>Przepływy środków pieniężnych z działalności operacyjnej</t>
  </si>
  <si>
    <t>Zysk/Strata netto</t>
  </si>
  <si>
    <t>Korekty razem</t>
  </si>
  <si>
    <t>Zyski/Straty z tyt. różnic kursowych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</si>
  <si>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</si>
  <si>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</si>
  <si>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</si>
  <si>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</si>
  <si>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</si>
  <si>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</si>
  <si>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</si>
  <si>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</si>
  <si>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</si>
  <si>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</si>
  <si>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</si>
  <si>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</si>
  <si>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</si>
  <si>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</si>
  <si>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</si>
  <si>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</si>
  <si>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</si>
  <si>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Dotacje, środki własne na pokrycie inwestycji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</si>
  <si>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</si>
  <si>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</si>
  <si>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</si>
  <si>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</si>
  <si>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</si>
  <si>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</si>
  <si>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</si>
  <si>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</si>
  <si>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>Rachunek przepływów pieniężnych - Podmiot bez projektu</t>
  </si>
  <si>
    <t>Rachunek przepływów pieniężnych</t>
  </si>
  <si>
    <t>Rachunek przepływów pieniężnych - Podmiot z Projektem</t>
  </si>
  <si>
    <t>Rachunek przepływów pieniężnych - Projekt</t>
  </si>
  <si>
    <t>Przepływy pieniężne w ostatnim roku analizy</t>
  </si>
  <si>
    <t>Wskaźniki efektywności finansowej Projektu</t>
  </si>
  <si>
    <t>FNPV/C, FRR/C</t>
  </si>
  <si>
    <t xml:space="preserve">  - przychody</t>
  </si>
  <si>
    <t xml:space="preserve">  - wartość rezydualna</t>
  </si>
  <si>
    <t xml:space="preserve">  - nakłady inwestycyjne</t>
  </si>
  <si>
    <t xml:space="preserve">  - koszty operacyjne</t>
  </si>
  <si>
    <t xml:space="preserve">  - nakłady odtworzeniowe</t>
  </si>
  <si>
    <t>Przepływ pieniężny netto</t>
  </si>
  <si>
    <t>Finansowa zaktualizowana wartość netto z inwestycji (FNPV/C)</t>
  </si>
  <si>
    <t>Finansowa wewnętrzna stopa zwrotu z inwestycji (FRR/C)</t>
  </si>
  <si>
    <t>Wskaźniki efektywności kapitałowej Projektu</t>
  </si>
  <si>
    <t>FNPV/K, FRR/K</t>
  </si>
  <si>
    <t xml:space="preserve">  - koszty finansowe (odsetki i prowizje)</t>
  </si>
  <si>
    <t xml:space="preserve">  - spłaty kredytów</t>
  </si>
  <si>
    <t xml:space="preserve">  - wkład własny</t>
  </si>
  <si>
    <t>Luka finansowa</t>
  </si>
  <si>
    <t>Analiza luki finansowej</t>
  </si>
  <si>
    <t>Przychody</t>
  </si>
  <si>
    <t>Koszty operacyjne i nakłady odtworzeniowe</t>
  </si>
  <si>
    <t>Suma zdyskontowanych nakładów inwestycyjnych (DIC)</t>
  </si>
  <si>
    <t>Suma zdyskontowanych przychodów</t>
  </si>
  <si>
    <t>Zdyskontowana wartość rezydualna</t>
  </si>
  <si>
    <t>Maksymalny wydatek kwalifikowany (MaxEE)</t>
  </si>
  <si>
    <t xml:space="preserve">Wskaźnik luki w finansowaniu (R) </t>
  </si>
  <si>
    <t>Koszty kwalifikowane (niezdyskontowane) (EC)</t>
  </si>
  <si>
    <t>Kwota decyzji (DA)</t>
  </si>
  <si>
    <t>Maksymalna wielkość współfinansowania (Max CRpa)</t>
  </si>
  <si>
    <t>Maksymalna dotacja UE</t>
  </si>
  <si>
    <t>Suma zdyskontowanych kosztów operacyjnych i nakładów odtworzeniowych</t>
  </si>
  <si>
    <t>Suma zdyskontowanych dochodów projektu (DNR)</t>
  </si>
  <si>
    <t>Rzeczywisty poziom dofinansowania kosztów kwalifikowalnych</t>
  </si>
  <si>
    <t>Stopa dyskonta - analiza finansowa</t>
  </si>
  <si>
    <t>Stopa dyskonta - analiza ekonomiczna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</si>
  <si>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</si>
  <si>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</si>
  <si>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</si>
  <si>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</si>
  <si>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</si>
  <si>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</si>
  <si>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</si>
  <si>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</si>
  <si>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</si>
  <si>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</si>
  <si>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</si>
  <si>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</si>
  <si>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</si>
  <si>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</si>
  <si>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</si>
  <si>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</si>
  <si>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</si>
  <si>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</si>
  <si>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</si>
  <si>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</si>
  <si>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</si>
  <si>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</si>
  <si>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</si>
  <si>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</si>
  <si>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</si>
  <si>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27</t>
  </si>
  <si>
    <t>Tabela 28</t>
  </si>
  <si>
    <t>Tabela 26</t>
  </si>
  <si>
    <t>Korzyści społeczne</t>
  </si>
  <si>
    <t xml:space="preserve"> - spadek emisji gazów cieplarnianych</t>
  </si>
  <si>
    <t xml:space="preserve"> - poprawa stanu zdrowia mieszkańców</t>
  </si>
  <si>
    <t>Koszty społeczne</t>
  </si>
  <si>
    <t xml:space="preserve"> - pogorszenie sytuacji finansowej dystrybutorów tradycyjnych paliw energetycznych</t>
  </si>
  <si>
    <t xml:space="preserve"> - zwiększenie siły nabywczej lokalnej ludności</t>
  </si>
  <si>
    <t xml:space="preserve"> - </t>
  </si>
  <si>
    <t>Przepływy pieniężne z analizy finansowej</t>
  </si>
  <si>
    <t>Korekty fiskalne</t>
  </si>
  <si>
    <t xml:space="preserve"> - korekta o VAT - nakłady inwestycyjne</t>
  </si>
  <si>
    <t xml:space="preserve"> - korekta o VAT - siła nabywcza ludności</t>
  </si>
  <si>
    <t xml:space="preserve"> - korekta o VAT - poprawa stanu zdrowia</t>
  </si>
  <si>
    <t>Przepływy pieniężne po korektach</t>
  </si>
  <si>
    <t>Koszty ekonomiczne</t>
  </si>
  <si>
    <t>Korzyści ekonomiczne</t>
  </si>
  <si>
    <t>Ekonomiczne przepływy pieniężne</t>
  </si>
  <si>
    <t>Ekonomiczna zaktualizowana wartość netto (ENPV)</t>
  </si>
  <si>
    <t>Ekonomiczna wewnętrzna stopa zwrotu (ERR)</t>
  </si>
  <si>
    <t>B/C</t>
  </si>
  <si>
    <t>Tabela 29</t>
  </si>
  <si>
    <t>Tabela 30</t>
  </si>
  <si>
    <t>Koszty operacyjne</t>
  </si>
  <si>
    <t>Oszczędność kosztów energii</t>
  </si>
  <si>
    <t>Badane zmienne</t>
  </si>
  <si>
    <t>+20%</t>
  </si>
  <si>
    <t>0%</t>
  </si>
  <si>
    <t>-20%</t>
  </si>
  <si>
    <t>FNPV</t>
  </si>
  <si>
    <t>ENPV</t>
  </si>
  <si>
    <t>zmiana</t>
  </si>
  <si>
    <t>Oszczędności energii</t>
  </si>
  <si>
    <t>Analiza wrażliwości - FNPV</t>
  </si>
  <si>
    <t>Wyniki</t>
  </si>
  <si>
    <t>wynik</t>
  </si>
  <si>
    <t>Analiza wrażliwości - ENPV</t>
  </si>
  <si>
    <t>Zmiana korzyści ekonomicznych</t>
  </si>
  <si>
    <t>Zmiana kosztów ekonomicznych</t>
  </si>
  <si>
    <t>Tabela 31</t>
  </si>
  <si>
    <t xml:space="preserve"> - korekta o VAT - sytuacja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</si>
</sst>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9" x14ac:knownFonts="1"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3F3F76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9"/>
      <color theme="8"/>
      <name val="Calibri"/>
      <family val="2"/>
      <charset val="238"/>
    </font>
    <font>
      <sz val="9"/>
      <color theme="9" tint="-0.249977111117893"/>
      <name val="Calibri"/>
      <family val="2"/>
      <charset val="238"/>
    </font>
    <font>
      <i/>
      <sz val="8"/>
      <color theme="9" tint="-0.249977111117893"/>
      <name val="Calibri"/>
      <family val="2"/>
      <charset val="238"/>
    </font>
    <font>
      <i/>
      <sz val="8"/>
      <color theme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b/>
      <sz val="9"/>
      <color theme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vertAlign val="subscript"/>
      <sz val="9"/>
      <color rgb="FFFF0000"/>
      <name val="Calibri"/>
      <family val="2"/>
      <charset val="238"/>
    </font>
    <font>
      <vertAlign val="subscript"/>
      <sz val="9"/>
      <color theme="1"/>
      <name val="Calibri"/>
      <family val="2"/>
      <charset val="238"/>
    </font>
    <font>
      <i/>
      <sz val="8"/>
      <color theme="0" tint="-0.34998626667073579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vertAlign val="subscript"/>
      <sz val="8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9"/>
      <color theme="9"/>
      <name val="Calibri"/>
      <family val="2"/>
      <charset val="238"/>
    </font>
    <font>
      <sz val="9"/>
      <color theme="9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indexed="64"/>
      </right>
      <top/>
      <bottom/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4" fontId="0" fillId="0" borderId="0" xfId="0" applyNumberFormat="1"/>
    <xf numFmtId="0" fontId="13" fillId="0" borderId="0" xfId="0" applyFont="1"/>
    <xf numFmtId="0" fontId="6" fillId="6" borderId="0" xfId="0" applyFont="1" applyFill="1"/>
    <xf numFmtId="4" fontId="15" fillId="0" borderId="0" xfId="0" applyNumberFormat="1" applyFont="1" applyFill="1" applyBorder="1"/>
    <xf numFmtId="4" fontId="16" fillId="0" borderId="0" xfId="0" applyNumberFormat="1" applyFont="1" applyFill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5" xfId="0" applyFont="1" applyFill="1" applyBorder="1"/>
    <xf numFmtId="4" fontId="4" fillId="4" borderId="0" xfId="0" applyNumberFormat="1" applyFont="1" applyFill="1" applyBorder="1"/>
    <xf numFmtId="4" fontId="4" fillId="4" borderId="6" xfId="0" applyNumberFormat="1" applyFont="1" applyFill="1" applyBorder="1"/>
    <xf numFmtId="0" fontId="9" fillId="0" borderId="5" xfId="0" quotePrefix="1" applyFont="1" applyBorder="1"/>
    <xf numFmtId="4" fontId="9" fillId="3" borderId="0" xfId="0" applyNumberFormat="1" applyFont="1" applyFill="1" applyBorder="1"/>
    <xf numFmtId="4" fontId="9" fillId="3" borderId="6" xfId="0" applyNumberFormat="1" applyFont="1" applyFill="1" applyBorder="1"/>
    <xf numFmtId="0" fontId="10" fillId="0" borderId="5" xfId="0" quotePrefix="1" applyFont="1" applyBorder="1"/>
    <xf numFmtId="4" fontId="10" fillId="0" borderId="0" xfId="0" applyNumberFormat="1" applyFont="1" applyBorder="1"/>
    <xf numFmtId="4" fontId="10" fillId="0" borderId="6" xfId="0" applyNumberFormat="1" applyFont="1" applyBorder="1"/>
    <xf numFmtId="0" fontId="8" fillId="0" borderId="5" xfId="0" quotePrefix="1" applyFont="1" applyBorder="1"/>
    <xf numFmtId="4" fontId="8" fillId="3" borderId="0" xfId="0" applyNumberFormat="1" applyFont="1" applyFill="1" applyBorder="1"/>
    <xf numFmtId="4" fontId="8" fillId="3" borderId="6" xfId="0" applyNumberFormat="1" applyFont="1" applyFill="1" applyBorder="1"/>
    <xf numFmtId="0" fontId="11" fillId="0" borderId="5" xfId="0" quotePrefix="1" applyFont="1" applyBorder="1"/>
    <xf numFmtId="4" fontId="11" fillId="0" borderId="0" xfId="0" applyNumberFormat="1" applyFont="1" applyBorder="1"/>
    <xf numFmtId="4" fontId="11" fillId="0" borderId="6" xfId="0" applyNumberFormat="1" applyFont="1" applyBorder="1"/>
    <xf numFmtId="4" fontId="9" fillId="0" borderId="0" xfId="0" applyNumberFormat="1" applyFont="1" applyFill="1" applyBorder="1"/>
    <xf numFmtId="4" fontId="9" fillId="0" borderId="6" xfId="0" applyNumberFormat="1" applyFont="1" applyFill="1" applyBorder="1"/>
    <xf numFmtId="4" fontId="10" fillId="0" borderId="0" xfId="0" applyNumberFormat="1" applyFont="1" applyFill="1" applyBorder="1"/>
    <xf numFmtId="4" fontId="10" fillId="0" borderId="6" xfId="0" applyNumberFormat="1" applyFont="1" applyFill="1" applyBorder="1"/>
    <xf numFmtId="4" fontId="8" fillId="0" borderId="0" xfId="0" applyNumberFormat="1" applyFont="1" applyFill="1" applyBorder="1"/>
    <xf numFmtId="4" fontId="8" fillId="0" borderId="6" xfId="0" applyNumberFormat="1" applyFont="1" applyFill="1" applyBorder="1"/>
    <xf numFmtId="4" fontId="11" fillId="0" borderId="0" xfId="0" applyNumberFormat="1" applyFont="1" applyFill="1" applyBorder="1"/>
    <xf numFmtId="4" fontId="11" fillId="0" borderId="6" xfId="0" applyNumberFormat="1" applyFont="1" applyFill="1" applyBorder="1"/>
    <xf numFmtId="0" fontId="11" fillId="0" borderId="7" xfId="0" quotePrefix="1" applyFont="1" applyBorder="1"/>
    <xf numFmtId="4" fontId="11" fillId="0" borderId="8" xfId="0" applyNumberFormat="1" applyFont="1" applyFill="1" applyBorder="1"/>
    <xf numFmtId="4" fontId="11" fillId="0" borderId="9" xfId="0" applyNumberFormat="1" applyFont="1" applyFill="1" applyBorder="1"/>
    <xf numFmtId="0" fontId="14" fillId="0" borderId="10" xfId="0" applyFont="1" applyBorder="1"/>
    <xf numFmtId="10" fontId="14" fillId="0" borderId="11" xfId="0" applyNumberFormat="1" applyFont="1" applyBorder="1"/>
    <xf numFmtId="0" fontId="7" fillId="0" borderId="2" xfId="0" applyFont="1" applyBorder="1"/>
    <xf numFmtId="0" fontId="0" fillId="0" borderId="5" xfId="0" applyBorder="1"/>
    <xf numFmtId="4" fontId="0" fillId="0" borderId="0" xfId="0" applyNumberFormat="1" applyBorder="1"/>
    <xf numFmtId="4" fontId="4" fillId="0" borderId="6" xfId="0" applyNumberFormat="1" applyFont="1" applyBorder="1"/>
    <xf numFmtId="0" fontId="4" fillId="0" borderId="5" xfId="0" applyFont="1" applyBorder="1"/>
    <xf numFmtId="4" fontId="4" fillId="0" borderId="0" xfId="0" applyNumberFormat="1" applyFont="1" applyBorder="1"/>
    <xf numFmtId="0" fontId="0" fillId="0" borderId="0" xfId="0" applyBorder="1"/>
    <xf numFmtId="0" fontId="0" fillId="0" borderId="6" xfId="0" applyBorder="1"/>
    <xf numFmtId="10" fontId="0" fillId="0" borderId="0" xfId="1" applyNumberFormat="1" applyFont="1" applyBorder="1"/>
    <xf numFmtId="10" fontId="0" fillId="0" borderId="6" xfId="1" applyNumberFormat="1" applyFont="1" applyBorder="1"/>
    <xf numFmtId="0" fontId="0" fillId="0" borderId="7" xfId="0" applyBorder="1"/>
    <xf numFmtId="10" fontId="0" fillId="0" borderId="8" xfId="1" applyNumberFormat="1" applyFont="1" applyBorder="1"/>
    <xf numFmtId="10" fontId="0" fillId="0" borderId="9" xfId="1" applyNumberFormat="1" applyFont="1" applyBorder="1"/>
    <xf numFmtId="0" fontId="0" fillId="0" borderId="5" xfId="0" quotePrefix="1" applyBorder="1"/>
    <xf numFmtId="0" fontId="0" fillId="0" borderId="7" xfId="0" quotePrefix="1" applyBorder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0" fillId="0" borderId="6" xfId="0" applyNumberFormat="1" applyBorder="1"/>
    <xf numFmtId="0" fontId="4" fillId="7" borderId="5" xfId="0" applyFont="1" applyFill="1" applyBorder="1"/>
    <xf numFmtId="164" fontId="4" fillId="7" borderId="6" xfId="0" applyNumberFormat="1" applyFont="1" applyFill="1" applyBorder="1"/>
    <xf numFmtId="4" fontId="0" fillId="0" borderId="6" xfId="0" applyNumberFormat="1" applyBorder="1"/>
    <xf numFmtId="4" fontId="0" fillId="0" borderId="9" xfId="0" applyNumberFormat="1" applyBorder="1"/>
    <xf numFmtId="0" fontId="15" fillId="0" borderId="5" xfId="0" applyFont="1" applyFill="1" applyBorder="1" applyAlignment="1">
      <alignment vertical="center"/>
    </xf>
    <xf numFmtId="4" fontId="0" fillId="0" borderId="0" xfId="0" applyNumberFormat="1" applyFont="1" applyBorder="1"/>
    <xf numFmtId="4" fontId="15" fillId="0" borderId="6" xfId="0" applyNumberFormat="1" applyFont="1" applyFill="1" applyBorder="1"/>
    <xf numFmtId="0" fontId="16" fillId="0" borderId="5" xfId="0" applyFont="1" applyFill="1" applyBorder="1" applyAlignment="1">
      <alignment vertical="center"/>
    </xf>
    <xf numFmtId="4" fontId="16" fillId="0" borderId="6" xfId="0" applyNumberFormat="1" applyFont="1" applyFill="1" applyBorder="1"/>
    <xf numFmtId="0" fontId="15" fillId="0" borderId="5" xfId="0" applyFont="1" applyFill="1" applyBorder="1"/>
    <xf numFmtId="0" fontId="15" fillId="0" borderId="7" xfId="0" applyFont="1" applyFill="1" applyBorder="1"/>
    <xf numFmtId="4" fontId="15" fillId="0" borderId="8" xfId="0" applyNumberFormat="1" applyFont="1" applyFill="1" applyBorder="1"/>
    <xf numFmtId="4" fontId="15" fillId="0" borderId="9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9" fillId="0" borderId="0" xfId="0" applyFont="1"/>
    <xf numFmtId="4" fontId="0" fillId="0" borderId="8" xfId="0" applyNumberFormat="1" applyBorder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/>
    <xf numFmtId="0" fontId="4" fillId="8" borderId="5" xfId="0" applyFont="1" applyFill="1" applyBorder="1" applyAlignment="1">
      <alignment horizontal="center"/>
    </xf>
    <xf numFmtId="0" fontId="0" fillId="8" borderId="0" xfId="0" applyFill="1" applyBorder="1"/>
    <xf numFmtId="0" fontId="0" fillId="8" borderId="6" xfId="0" applyFill="1" applyBorder="1"/>
    <xf numFmtId="0" fontId="4" fillId="0" borderId="7" xfId="0" applyFont="1" applyBorder="1"/>
    <xf numFmtId="4" fontId="4" fillId="0" borderId="9" xfId="0" applyNumberFormat="1" applyFont="1" applyBorder="1"/>
    <xf numFmtId="0" fontId="3" fillId="11" borderId="0" xfId="0" applyFont="1" applyFill="1"/>
    <xf numFmtId="10" fontId="3" fillId="11" borderId="0" xfId="0" applyNumberFormat="1" applyFont="1" applyFill="1"/>
    <xf numFmtId="10" fontId="3" fillId="5" borderId="0" xfId="0" applyNumberFormat="1" applyFont="1" applyFill="1"/>
    <xf numFmtId="0" fontId="0" fillId="0" borderId="5" xfId="0" applyFont="1" applyBorder="1"/>
    <xf numFmtId="0" fontId="0" fillId="0" borderId="7" xfId="0" applyFont="1" applyBorder="1"/>
    <xf numFmtId="4" fontId="24" fillId="0" borderId="6" xfId="0" applyNumberFormat="1" applyFont="1" applyBorder="1"/>
    <xf numFmtId="0" fontId="21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7" xfId="0" applyFill="1" applyBorder="1"/>
    <xf numFmtId="4" fontId="24" fillId="0" borderId="0" xfId="0" applyNumberFormat="1" applyFont="1" applyBorder="1"/>
    <xf numFmtId="4" fontId="25" fillId="0" borderId="0" xfId="0" applyNumberFormat="1" applyFont="1" applyFill="1" applyBorder="1"/>
    <xf numFmtId="4" fontId="26" fillId="0" borderId="0" xfId="0" applyNumberFormat="1" applyFont="1" applyFill="1" applyBorder="1"/>
    <xf numFmtId="4" fontId="25" fillId="0" borderId="6" xfId="0" applyNumberFormat="1" applyFont="1" applyFill="1" applyBorder="1"/>
    <xf numFmtId="4" fontId="26" fillId="0" borderId="6" xfId="0" applyNumberFormat="1" applyFont="1" applyFill="1" applyBorder="1"/>
    <xf numFmtId="4" fontId="7" fillId="0" borderId="0" xfId="0" applyNumberFormat="1" applyFont="1" applyBorder="1"/>
    <xf numFmtId="4" fontId="7" fillId="0" borderId="6" xfId="0" applyNumberFormat="1" applyFont="1" applyBorder="1"/>
    <xf numFmtId="0" fontId="7" fillId="0" borderId="0" xfId="0" applyFont="1" applyFill="1"/>
    <xf numFmtId="0" fontId="7" fillId="0" borderId="2" xfId="0" applyFont="1" applyFill="1" applyBorder="1"/>
    <xf numFmtId="0" fontId="27" fillId="0" borderId="5" xfId="0" applyFont="1" applyFill="1" applyBorder="1"/>
    <xf numFmtId="4" fontId="27" fillId="0" borderId="0" xfId="0" applyNumberFormat="1" applyFont="1" applyFill="1" applyBorder="1"/>
    <xf numFmtId="4" fontId="27" fillId="0" borderId="6" xfId="0" applyNumberFormat="1" applyFont="1" applyFill="1" applyBorder="1"/>
    <xf numFmtId="0" fontId="16" fillId="0" borderId="5" xfId="0" applyFont="1" applyFill="1" applyBorder="1"/>
    <xf numFmtId="4" fontId="2" fillId="2" borderId="1" xfId="2" applyNumberFormat="1"/>
    <xf numFmtId="0" fontId="4" fillId="7" borderId="2" xfId="0" applyFont="1" applyFill="1" applyBorder="1"/>
    <xf numFmtId="4" fontId="4" fillId="7" borderId="4" xfId="0" applyNumberFormat="1" applyFont="1" applyFill="1" applyBorder="1"/>
    <xf numFmtId="10" fontId="4" fillId="0" borderId="8" xfId="0" applyNumberFormat="1" applyFont="1" applyBorder="1"/>
    <xf numFmtId="10" fontId="4" fillId="0" borderId="0" xfId="1" applyNumberFormat="1" applyFont="1" applyBorder="1"/>
    <xf numFmtId="10" fontId="4" fillId="0" borderId="0" xfId="0" applyNumberFormat="1" applyFont="1" applyBorder="1"/>
    <xf numFmtId="0" fontId="28" fillId="0" borderId="7" xfId="0" applyFont="1" applyBorder="1"/>
    <xf numFmtId="10" fontId="28" fillId="0" borderId="8" xfId="0" applyNumberFormat="1" applyFont="1" applyBorder="1"/>
    <xf numFmtId="0" fontId="4" fillId="9" borderId="2" xfId="0" applyFont="1" applyFill="1" applyBorder="1"/>
    <xf numFmtId="4" fontId="4" fillId="9" borderId="4" xfId="0" applyNumberFormat="1" applyFont="1" applyFill="1" applyBorder="1"/>
    <xf numFmtId="0" fontId="0" fillId="0" borderId="5" xfId="0" quotePrefix="1" applyFont="1" applyBorder="1"/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4" fontId="0" fillId="3" borderId="0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0" fillId="0" borderId="5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10" fontId="0" fillId="0" borderId="12" xfId="1" applyNumberFormat="1" applyFont="1" applyBorder="1"/>
    <xf numFmtId="0" fontId="4" fillId="0" borderId="6" xfId="0" applyFont="1" applyBorder="1" applyAlignment="1">
      <alignment horizontal="center" vertical="center"/>
    </xf>
    <xf numFmtId="10" fontId="0" fillId="0" borderId="13" xfId="1" applyNumberFormat="1" applyFont="1" applyBorder="1"/>
    <xf numFmtId="4" fontId="2" fillId="2" borderId="14" xfId="2" applyNumberFormat="1" applyBorder="1"/>
    <xf numFmtId="4" fontId="0" fillId="4" borderId="9" xfId="0" applyNumberFormat="1" applyFill="1" applyBorder="1"/>
    <xf numFmtId="4" fontId="0" fillId="4" borderId="0" xfId="0" applyNumberFormat="1" applyFill="1" applyBorder="1"/>
    <xf numFmtId="4" fontId="4" fillId="0" borderId="0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23" fillId="1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Dane wejściowe" xfId="2" builtinId="20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8"/>
  <sheetViews>
    <sheetView tabSelected="1" zoomScaleNormal="100" workbookViewId="0">
      <selection activeCell="D2" sqref="D2"/>
    </sheetView>
  </sheetViews>
  <sheetFormatPr defaultRowHeight="12" x14ac:dyDescent="0.2"/>
  <cols>
    <col min="2" max="2" width="58.83203125" bestFit="1" customWidth="1"/>
    <col min="3" max="3" width="18.6640625" bestFit="1" customWidth="1"/>
    <col min="4" max="4" width="13" bestFit="1" customWidth="1"/>
    <col min="5" max="13" width="12.6640625" bestFit="1" customWidth="1"/>
    <col min="14" max="27" width="13.83203125" bestFit="1" customWidth="1"/>
    <col min="28" max="28" width="11.6640625" bestFit="1" customWidth="1"/>
    <col min="29" max="29" width="10.1640625" bestFit="1" customWidth="1"/>
  </cols>
  <sheetData>
    <row r="1" spans="1:5" x14ac:dyDescent="0.2">
      <c r="A1" s="4" t="s">
        <v>9</v>
      </c>
    </row>
    <row r="2" spans="1:5" ht="12.75" x14ac:dyDescent="0.2">
      <c r="A2" s="4" t="s">
        <v>10</v>
      </c>
      <c r="B2" s="144" t="s">
        <v>119</v>
      </c>
      <c r="C2" s="144"/>
    </row>
    <row r="3" spans="1:5" x14ac:dyDescent="0.2">
      <c r="A3" s="4"/>
      <c r="B3" s="77" t="s">
        <v>8</v>
      </c>
      <c r="C3" s="78" t="s">
        <v>10</v>
      </c>
    </row>
    <row r="4" spans="1:5" x14ac:dyDescent="0.2">
      <c r="A4" s="4"/>
      <c r="B4" s="97" t="s">
        <v>210</v>
      </c>
      <c r="C4" s="98">
        <v>0.04</v>
      </c>
    </row>
    <row r="5" spans="1:5" x14ac:dyDescent="0.2">
      <c r="A5" s="4"/>
      <c r="B5" s="77" t="s">
        <v>211</v>
      </c>
      <c r="C5" s="99">
        <v>0.05</v>
      </c>
    </row>
    <row r="6" spans="1:5" x14ac:dyDescent="0.2">
      <c r="A6" s="4"/>
      <c r="B6" s="97" t="s">
        <v>120</v>
      </c>
      <c r="C6" s="98">
        <v>2.5000000000000001E-2</v>
      </c>
    </row>
    <row r="7" spans="1:5" x14ac:dyDescent="0.2">
      <c r="A7" s="4"/>
    </row>
    <row r="8" spans="1:5" x14ac:dyDescent="0.2">
      <c r="A8" s="4"/>
    </row>
    <row r="9" spans="1:5" x14ac:dyDescent="0.2">
      <c r="A9" s="4"/>
    </row>
    <row r="10" spans="1:5" x14ac:dyDescent="0.2">
      <c r="A10" s="4"/>
    </row>
    <row r="11" spans="1:5" x14ac:dyDescent="0.2">
      <c r="A11" s="7" t="s">
        <v>212</v>
      </c>
      <c r="B11" s="7" t="s">
        <v>76</v>
      </c>
    </row>
    <row r="12" spans="1:5" x14ac:dyDescent="0.2">
      <c r="B12" s="10" t="s">
        <v>0</v>
      </c>
      <c r="C12" s="11">
        <v>2016</v>
      </c>
      <c r="D12" s="11">
        <v>2017</v>
      </c>
      <c r="E12" s="12" t="s">
        <v>18</v>
      </c>
    </row>
    <row r="13" spans="1:5" x14ac:dyDescent="0.2">
      <c r="B13" s="13" t="s">
        <v>2</v>
      </c>
      <c r="C13" s="14">
        <f>SUM(C14:C17)</f>
        <v>947838</v>
      </c>
      <c r="D13" s="14">
        <f>SUM(D14:D17)</f>
        <v>3194211.6</v>
      </c>
      <c r="E13" s="15">
        <f t="shared" ref="E13:E42" si="0">C13+D13</f>
        <v>4142049.6</v>
      </c>
    </row>
    <row r="14" spans="1:5" x14ac:dyDescent="0.2">
      <c r="B14" s="16" t="s">
        <v>6</v>
      </c>
      <c r="C14" s="17">
        <v>580000</v>
      </c>
      <c r="D14" s="17">
        <v>2100000</v>
      </c>
      <c r="E14" s="18">
        <f t="shared" si="0"/>
        <v>2680000</v>
      </c>
    </row>
    <row r="15" spans="1:5" x14ac:dyDescent="0.2">
      <c r="B15" s="19" t="s">
        <v>16</v>
      </c>
      <c r="C15" s="20">
        <f>ROUND(23%*(C14),2)</f>
        <v>133400</v>
      </c>
      <c r="D15" s="20">
        <f>ROUND(23%*(D14),2)</f>
        <v>483000</v>
      </c>
      <c r="E15" s="21">
        <f t="shared" si="0"/>
        <v>616400</v>
      </c>
    </row>
    <row r="16" spans="1:5" x14ac:dyDescent="0.2">
      <c r="B16" s="22" t="s">
        <v>7</v>
      </c>
      <c r="C16" s="23">
        <v>190600</v>
      </c>
      <c r="D16" s="23">
        <v>496920</v>
      </c>
      <c r="E16" s="24">
        <f t="shared" si="0"/>
        <v>687520</v>
      </c>
    </row>
    <row r="17" spans="2:5" x14ac:dyDescent="0.2">
      <c r="B17" s="25" t="s">
        <v>17</v>
      </c>
      <c r="C17" s="26">
        <f>ROUND(23%*(C16),2)</f>
        <v>43838</v>
      </c>
      <c r="D17" s="26">
        <f>ROUND(23%*(D16),2)</f>
        <v>114291.6</v>
      </c>
      <c r="E17" s="27">
        <f t="shared" si="0"/>
        <v>158129.60000000001</v>
      </c>
    </row>
    <row r="18" spans="2:5" x14ac:dyDescent="0.2">
      <c r="B18" s="13" t="s">
        <v>3</v>
      </c>
      <c r="C18" s="14">
        <f>SUM(C19:C22)</f>
        <v>13929.75</v>
      </c>
      <c r="D18" s="14">
        <f>SUM(D19:D22)</f>
        <v>47970</v>
      </c>
      <c r="E18" s="15">
        <f t="shared" si="0"/>
        <v>61899.75</v>
      </c>
    </row>
    <row r="19" spans="2:5" x14ac:dyDescent="0.2">
      <c r="B19" s="16" t="s">
        <v>6</v>
      </c>
      <c r="C19" s="17">
        <v>6850</v>
      </c>
      <c r="D19" s="17">
        <v>29900</v>
      </c>
      <c r="E19" s="18">
        <f t="shared" si="0"/>
        <v>36750</v>
      </c>
    </row>
    <row r="20" spans="2:5" x14ac:dyDescent="0.2">
      <c r="B20" s="19" t="s">
        <v>16</v>
      </c>
      <c r="C20" s="20">
        <f>ROUND(23%*(C19),2)</f>
        <v>1575.5</v>
      </c>
      <c r="D20" s="20">
        <f>ROUND(23%*(D19),2)</f>
        <v>6877</v>
      </c>
      <c r="E20" s="21">
        <f t="shared" si="0"/>
        <v>8452.5</v>
      </c>
    </row>
    <row r="21" spans="2:5" x14ac:dyDescent="0.2">
      <c r="B21" s="22" t="s">
        <v>7</v>
      </c>
      <c r="C21" s="23">
        <v>4475</v>
      </c>
      <c r="D21" s="23">
        <v>9100</v>
      </c>
      <c r="E21" s="24">
        <f t="shared" si="0"/>
        <v>13575</v>
      </c>
    </row>
    <row r="22" spans="2:5" x14ac:dyDescent="0.2">
      <c r="B22" s="25" t="s">
        <v>17</v>
      </c>
      <c r="C22" s="26">
        <f>ROUND(23%*(C21),2)</f>
        <v>1029.25</v>
      </c>
      <c r="D22" s="26">
        <f>ROUND(23%*(D21),2)</f>
        <v>2093</v>
      </c>
      <c r="E22" s="27">
        <f t="shared" si="0"/>
        <v>3122.25</v>
      </c>
    </row>
    <row r="23" spans="2:5" x14ac:dyDescent="0.2">
      <c r="B23" s="13" t="s">
        <v>4</v>
      </c>
      <c r="C23" s="14">
        <f>SUM(C24:C27)</f>
        <v>12293.85</v>
      </c>
      <c r="D23" s="14">
        <f>SUM(D24:D27)</f>
        <v>13511.55</v>
      </c>
      <c r="E23" s="15">
        <f t="shared" si="0"/>
        <v>25805.4</v>
      </c>
    </row>
    <row r="24" spans="2:5" x14ac:dyDescent="0.2">
      <c r="B24" s="16" t="s">
        <v>6</v>
      </c>
      <c r="C24" s="17">
        <v>5495</v>
      </c>
      <c r="D24" s="17">
        <v>7485</v>
      </c>
      <c r="E24" s="18">
        <f t="shared" si="0"/>
        <v>12980</v>
      </c>
    </row>
    <row r="25" spans="2:5" x14ac:dyDescent="0.2">
      <c r="B25" s="19" t="s">
        <v>16</v>
      </c>
      <c r="C25" s="20">
        <f>ROUND(23%*(C24),2)</f>
        <v>1263.8499999999999</v>
      </c>
      <c r="D25" s="20">
        <f>ROUND(23%*(D24),2)</f>
        <v>1721.55</v>
      </c>
      <c r="E25" s="21">
        <f t="shared" si="0"/>
        <v>2985.3999999999996</v>
      </c>
    </row>
    <row r="26" spans="2:5" x14ac:dyDescent="0.2">
      <c r="B26" s="22" t="s">
        <v>7</v>
      </c>
      <c r="C26" s="23">
        <v>4500</v>
      </c>
      <c r="D26" s="23">
        <v>3500</v>
      </c>
      <c r="E26" s="24">
        <f t="shared" si="0"/>
        <v>8000</v>
      </c>
    </row>
    <row r="27" spans="2:5" x14ac:dyDescent="0.2">
      <c r="B27" s="25" t="s">
        <v>17</v>
      </c>
      <c r="C27" s="26">
        <f>ROUND(23%*(C26),2)</f>
        <v>1035</v>
      </c>
      <c r="D27" s="26">
        <f>ROUND(23%*(D26),2)</f>
        <v>805</v>
      </c>
      <c r="E27" s="27">
        <f t="shared" si="0"/>
        <v>1840</v>
      </c>
    </row>
    <row r="28" spans="2:5" x14ac:dyDescent="0.2">
      <c r="B28" s="13" t="s">
        <v>5</v>
      </c>
      <c r="C28" s="14">
        <f>SUM(C29:C32)</f>
        <v>6758.85</v>
      </c>
      <c r="D28" s="14">
        <f>SUM(D29:D32)</f>
        <v>4003.65</v>
      </c>
      <c r="E28" s="15">
        <f t="shared" si="0"/>
        <v>10762.5</v>
      </c>
    </row>
    <row r="29" spans="2:5" x14ac:dyDescent="0.2">
      <c r="B29" s="16" t="s">
        <v>6</v>
      </c>
      <c r="C29" s="17">
        <v>3200</v>
      </c>
      <c r="D29" s="17">
        <v>2060</v>
      </c>
      <c r="E29" s="18">
        <f t="shared" si="0"/>
        <v>5260</v>
      </c>
    </row>
    <row r="30" spans="2:5" x14ac:dyDescent="0.2">
      <c r="B30" s="19" t="s">
        <v>16</v>
      </c>
      <c r="C30" s="20">
        <f>ROUND(23%*(C29),2)</f>
        <v>736</v>
      </c>
      <c r="D30" s="20">
        <f>ROUND(23%*(D29),2)</f>
        <v>473.8</v>
      </c>
      <c r="E30" s="21">
        <f t="shared" si="0"/>
        <v>1209.8</v>
      </c>
    </row>
    <row r="31" spans="2:5" x14ac:dyDescent="0.2">
      <c r="B31" s="22" t="s">
        <v>7</v>
      </c>
      <c r="C31" s="23">
        <v>2295</v>
      </c>
      <c r="D31" s="23">
        <v>1195</v>
      </c>
      <c r="E31" s="24">
        <f t="shared" si="0"/>
        <v>3490</v>
      </c>
    </row>
    <row r="32" spans="2:5" x14ac:dyDescent="0.2">
      <c r="B32" s="25" t="s">
        <v>17</v>
      </c>
      <c r="C32" s="26">
        <f>ROUND(23%*(C31),2)</f>
        <v>527.85</v>
      </c>
      <c r="D32" s="26">
        <f>ROUND(23%*(D31),2)</f>
        <v>274.85000000000002</v>
      </c>
      <c r="E32" s="27">
        <f t="shared" si="0"/>
        <v>802.7</v>
      </c>
    </row>
    <row r="33" spans="1:5" x14ac:dyDescent="0.2">
      <c r="B33" s="13" t="s">
        <v>11</v>
      </c>
      <c r="C33" s="14">
        <f>SUM(C34:C37)</f>
        <v>980820.45</v>
      </c>
      <c r="D33" s="14">
        <f>SUM(D34:D37)</f>
        <v>3259696.8000000003</v>
      </c>
      <c r="E33" s="15">
        <f t="shared" si="0"/>
        <v>4240517.25</v>
      </c>
    </row>
    <row r="34" spans="1:5" x14ac:dyDescent="0.2">
      <c r="B34" s="16" t="s">
        <v>6</v>
      </c>
      <c r="C34" s="28">
        <f t="shared" ref="C34:D37" si="1">C29+C24+C19+C14</f>
        <v>595545</v>
      </c>
      <c r="D34" s="28">
        <f t="shared" si="1"/>
        <v>2139445</v>
      </c>
      <c r="E34" s="29">
        <f t="shared" si="0"/>
        <v>2734990</v>
      </c>
    </row>
    <row r="35" spans="1:5" x14ac:dyDescent="0.2">
      <c r="B35" s="19" t="s">
        <v>16</v>
      </c>
      <c r="C35" s="30">
        <f t="shared" si="1"/>
        <v>136975.35</v>
      </c>
      <c r="D35" s="30">
        <f t="shared" si="1"/>
        <v>492072.35</v>
      </c>
      <c r="E35" s="31">
        <f t="shared" si="0"/>
        <v>629047.69999999995</v>
      </c>
    </row>
    <row r="36" spans="1:5" x14ac:dyDescent="0.2">
      <c r="B36" s="22" t="s">
        <v>7</v>
      </c>
      <c r="C36" s="32">
        <f t="shared" si="1"/>
        <v>201870</v>
      </c>
      <c r="D36" s="32">
        <f t="shared" si="1"/>
        <v>510715</v>
      </c>
      <c r="E36" s="33">
        <f t="shared" si="0"/>
        <v>712585</v>
      </c>
    </row>
    <row r="37" spans="1:5" x14ac:dyDescent="0.2">
      <c r="B37" s="25" t="s">
        <v>17</v>
      </c>
      <c r="C37" s="34">
        <f t="shared" si="1"/>
        <v>46430.1</v>
      </c>
      <c r="D37" s="34">
        <f t="shared" si="1"/>
        <v>117464.45000000001</v>
      </c>
      <c r="E37" s="35">
        <f t="shared" si="0"/>
        <v>163894.55000000002</v>
      </c>
    </row>
    <row r="38" spans="1:5" x14ac:dyDescent="0.2">
      <c r="B38" s="13" t="s">
        <v>12</v>
      </c>
      <c r="C38" s="14">
        <f>SUM(C39:C42)</f>
        <v>980820.45</v>
      </c>
      <c r="D38" s="14">
        <f>SUM(D39:D42)</f>
        <v>3259696.8</v>
      </c>
      <c r="E38" s="15">
        <f t="shared" si="0"/>
        <v>4240517.25</v>
      </c>
    </row>
    <row r="39" spans="1:5" x14ac:dyDescent="0.2">
      <c r="B39" s="16" t="s">
        <v>6</v>
      </c>
      <c r="C39" s="28">
        <f>C34</f>
        <v>595545</v>
      </c>
      <c r="D39" s="28">
        <f>D34</f>
        <v>2139445</v>
      </c>
      <c r="E39" s="29">
        <f t="shared" si="0"/>
        <v>2734990</v>
      </c>
    </row>
    <row r="40" spans="1:5" x14ac:dyDescent="0.2">
      <c r="B40" s="19" t="s">
        <v>19</v>
      </c>
      <c r="C40" s="30">
        <f>IF($C$3="t",C35,0)</f>
        <v>0</v>
      </c>
      <c r="D40" s="30">
        <f>IF($C$3="t",D35,0)</f>
        <v>0</v>
      </c>
      <c r="E40" s="31">
        <f t="shared" si="0"/>
        <v>0</v>
      </c>
    </row>
    <row r="41" spans="1:5" x14ac:dyDescent="0.2">
      <c r="B41" s="22" t="s">
        <v>7</v>
      </c>
      <c r="C41" s="32">
        <f>C36</f>
        <v>201870</v>
      </c>
      <c r="D41" s="32">
        <f>D36</f>
        <v>510715</v>
      </c>
      <c r="E41" s="33">
        <f t="shared" si="0"/>
        <v>712585</v>
      </c>
    </row>
    <row r="42" spans="1:5" x14ac:dyDescent="0.2">
      <c r="B42" s="36" t="s">
        <v>20</v>
      </c>
      <c r="C42" s="37">
        <f>IF($C$3="n",C37+C35,C37)</f>
        <v>183405.45</v>
      </c>
      <c r="D42" s="37">
        <f>IF($C$3="n",D37+D35,D37)</f>
        <v>609536.80000000005</v>
      </c>
      <c r="E42" s="38">
        <f t="shared" si="0"/>
        <v>792942.25</v>
      </c>
    </row>
    <row r="43" spans="1:5" x14ac:dyDescent="0.2">
      <c r="C43" s="6" t="b">
        <f>C38=C33</f>
        <v>1</v>
      </c>
      <c r="D43" s="6" t="b">
        <f>D38=D33</f>
        <v>1</v>
      </c>
      <c r="E43" s="6" t="b">
        <f>E38=E33</f>
        <v>1</v>
      </c>
    </row>
    <row r="46" spans="1:5" x14ac:dyDescent="0.2">
      <c r="A46" s="7" t="s">
        <v>213</v>
      </c>
      <c r="B46" s="7" t="s">
        <v>75</v>
      </c>
    </row>
    <row r="47" spans="1:5" x14ac:dyDescent="0.2">
      <c r="B47" s="39" t="s">
        <v>21</v>
      </c>
      <c r="C47" s="40">
        <v>0.85</v>
      </c>
    </row>
    <row r="48" spans="1:5" x14ac:dyDescent="0.2">
      <c r="B48" s="3"/>
    </row>
    <row r="49" spans="2:6" x14ac:dyDescent="0.2">
      <c r="B49" s="41" t="s">
        <v>15</v>
      </c>
      <c r="C49" s="11">
        <v>2016</v>
      </c>
      <c r="D49" s="11">
        <v>2017</v>
      </c>
      <c r="E49" s="12" t="s">
        <v>18</v>
      </c>
    </row>
    <row r="50" spans="2:6" x14ac:dyDescent="0.2">
      <c r="B50" s="42" t="s">
        <v>13</v>
      </c>
      <c r="C50" s="43">
        <f>C39+C40</f>
        <v>595545</v>
      </c>
      <c r="D50" s="43">
        <f>D39+D40</f>
        <v>2139445</v>
      </c>
      <c r="E50" s="44">
        <f>SUM(C50:D50)</f>
        <v>2734990</v>
      </c>
    </row>
    <row r="51" spans="2:6" x14ac:dyDescent="0.2">
      <c r="B51" s="42" t="s">
        <v>14</v>
      </c>
      <c r="C51" s="43">
        <f>C41+C42</f>
        <v>385275.45</v>
      </c>
      <c r="D51" s="43">
        <f>D41+D42</f>
        <v>1120251.8</v>
      </c>
      <c r="E51" s="44">
        <f>SUM(C51:D51)</f>
        <v>1505527.25</v>
      </c>
    </row>
    <row r="52" spans="2:6" x14ac:dyDescent="0.2">
      <c r="B52" s="45" t="s">
        <v>18</v>
      </c>
      <c r="C52" s="46">
        <f>C50+C51</f>
        <v>980820.45</v>
      </c>
      <c r="D52" s="46">
        <f>D50+D51</f>
        <v>3259696.8</v>
      </c>
      <c r="E52" s="44">
        <f>SUM(C52:D52)</f>
        <v>4240517.25</v>
      </c>
    </row>
    <row r="53" spans="2:6" x14ac:dyDescent="0.2">
      <c r="B53" s="45"/>
      <c r="C53" s="46"/>
      <c r="D53" s="46"/>
      <c r="E53" s="44"/>
    </row>
    <row r="54" spans="2:6" x14ac:dyDescent="0.2">
      <c r="B54" s="42" t="s">
        <v>23</v>
      </c>
      <c r="C54" s="43">
        <f>ROUND(C50-C55,2)</f>
        <v>89331.75</v>
      </c>
      <c r="D54" s="43">
        <f>ROUND(D50-D55,2)</f>
        <v>320916.75</v>
      </c>
      <c r="E54" s="44">
        <f>SUM(C54:D54)</f>
        <v>410248.5</v>
      </c>
    </row>
    <row r="55" spans="2:6" x14ac:dyDescent="0.2">
      <c r="B55" s="42" t="s">
        <v>22</v>
      </c>
      <c r="C55" s="43">
        <f>ROUNDDOWN($C$47*C50,2)</f>
        <v>506213.25</v>
      </c>
      <c r="D55" s="43">
        <f>ROUNDDOWN($C$47*D50,2)</f>
        <v>1818528.25</v>
      </c>
      <c r="E55" s="44">
        <f>SUM(C55:D55)</f>
        <v>2324741.5</v>
      </c>
      <c r="F55" s="6" t="b">
        <f>(E55+E54)=E50</f>
        <v>1</v>
      </c>
    </row>
    <row r="56" spans="2:6" x14ac:dyDescent="0.2">
      <c r="B56" s="42" t="s">
        <v>24</v>
      </c>
      <c r="C56" s="43">
        <f>C51</f>
        <v>385275.45</v>
      </c>
      <c r="D56" s="43">
        <f>D51</f>
        <v>1120251.8</v>
      </c>
      <c r="E56" s="44">
        <f>SUM(C56:D56)</f>
        <v>1505527.25</v>
      </c>
      <c r="F56" s="6" t="b">
        <f>E56=E51</f>
        <v>1</v>
      </c>
    </row>
    <row r="57" spans="2:6" x14ac:dyDescent="0.2">
      <c r="B57" s="45" t="s">
        <v>18</v>
      </c>
      <c r="C57" s="46">
        <f>C55+C56+C54</f>
        <v>980820.45</v>
      </c>
      <c r="D57" s="46">
        <f>D55+D56+D54</f>
        <v>3259696.8</v>
      </c>
      <c r="E57" s="44">
        <f>SUM(C57:D57)</f>
        <v>4240517.25</v>
      </c>
      <c r="F57" s="6" t="b">
        <f>E57=E52</f>
        <v>1</v>
      </c>
    </row>
    <row r="58" spans="2:6" x14ac:dyDescent="0.2">
      <c r="B58" s="42"/>
      <c r="C58" s="47"/>
      <c r="D58" s="47"/>
      <c r="E58" s="48"/>
    </row>
    <row r="59" spans="2:6" x14ac:dyDescent="0.2">
      <c r="B59" s="45" t="s">
        <v>25</v>
      </c>
      <c r="C59" s="47"/>
      <c r="D59" s="47"/>
      <c r="E59" s="48"/>
    </row>
    <row r="60" spans="2:6" x14ac:dyDescent="0.2">
      <c r="B60" s="54" t="s">
        <v>62</v>
      </c>
      <c r="C60" s="49">
        <f>ROUND(E55/E50,4)</f>
        <v>0.85</v>
      </c>
      <c r="D60" s="49"/>
      <c r="E60" s="50"/>
    </row>
    <row r="61" spans="2:6" x14ac:dyDescent="0.2">
      <c r="B61" s="55" t="s">
        <v>63</v>
      </c>
      <c r="C61" s="52">
        <f>ROUND(E55/E52,4)</f>
        <v>0.54820000000000002</v>
      </c>
      <c r="D61" s="52"/>
      <c r="E61" s="53"/>
    </row>
    <row r="65" spans="1:4" x14ac:dyDescent="0.2">
      <c r="A65" s="7" t="s">
        <v>214</v>
      </c>
      <c r="B65" s="7" t="s">
        <v>74</v>
      </c>
    </row>
    <row r="66" spans="1:4" x14ac:dyDescent="0.2">
      <c r="B66" s="56" t="s">
        <v>32</v>
      </c>
      <c r="C66" s="57" t="s">
        <v>33</v>
      </c>
    </row>
    <row r="67" spans="1:4" x14ac:dyDescent="0.2">
      <c r="B67" s="54" t="s">
        <v>31</v>
      </c>
      <c r="C67" s="58">
        <v>4.2168999999999999</v>
      </c>
    </row>
    <row r="68" spans="1:4" x14ac:dyDescent="0.2">
      <c r="B68" s="54" t="s">
        <v>30</v>
      </c>
      <c r="C68" s="58">
        <v>4.2460000000000004</v>
      </c>
    </row>
    <row r="69" spans="1:4" x14ac:dyDescent="0.2">
      <c r="B69" s="54" t="s">
        <v>29</v>
      </c>
      <c r="C69" s="58">
        <v>4.2503000000000002</v>
      </c>
    </row>
    <row r="70" spans="1:4" x14ac:dyDescent="0.2">
      <c r="B70" s="54" t="s">
        <v>28</v>
      </c>
      <c r="C70" s="58">
        <v>4.2907999999999999</v>
      </c>
    </row>
    <row r="71" spans="1:4" x14ac:dyDescent="0.2">
      <c r="B71" s="54" t="s">
        <v>27</v>
      </c>
      <c r="C71" s="58">
        <v>4.3935000000000004</v>
      </c>
    </row>
    <row r="72" spans="1:4" x14ac:dyDescent="0.2">
      <c r="B72" s="54" t="s">
        <v>26</v>
      </c>
      <c r="C72" s="58">
        <v>4.3959999999999999</v>
      </c>
    </row>
    <row r="73" spans="1:4" x14ac:dyDescent="0.2">
      <c r="B73" s="59" t="s">
        <v>34</v>
      </c>
      <c r="C73" s="60">
        <f>ROUND(AVERAGE(C67:C72),4)</f>
        <v>4.2988999999999997</v>
      </c>
    </row>
    <row r="74" spans="1:4" x14ac:dyDescent="0.2">
      <c r="B74" s="42" t="s">
        <v>35</v>
      </c>
      <c r="C74" s="61">
        <f>E50</f>
        <v>2734990</v>
      </c>
    </row>
    <row r="75" spans="1:4" x14ac:dyDescent="0.2">
      <c r="B75" s="51" t="s">
        <v>36</v>
      </c>
      <c r="C75" s="62">
        <f>ROUND(C74/C73,2)</f>
        <v>636206.93999999994</v>
      </c>
    </row>
    <row r="79" spans="1:4" x14ac:dyDescent="0.2">
      <c r="A79" s="7" t="s">
        <v>215</v>
      </c>
      <c r="B79" s="7" t="s">
        <v>73</v>
      </c>
    </row>
    <row r="80" spans="1:4" x14ac:dyDescent="0.2">
      <c r="B80" s="10" t="s">
        <v>64</v>
      </c>
      <c r="C80" s="11">
        <v>2014</v>
      </c>
      <c r="D80" s="12">
        <v>2015</v>
      </c>
    </row>
    <row r="81" spans="2:4" x14ac:dyDescent="0.2">
      <c r="B81" s="63" t="s">
        <v>37</v>
      </c>
      <c r="C81" s="46">
        <v>17881829.690000001</v>
      </c>
      <c r="D81" s="44">
        <v>18630971.550000001</v>
      </c>
    </row>
    <row r="82" spans="2:4" x14ac:dyDescent="0.2">
      <c r="B82" s="63" t="s">
        <v>38</v>
      </c>
      <c r="C82" s="8">
        <f>SUM(C83:C90)</f>
        <v>17850232.940000001</v>
      </c>
      <c r="D82" s="65">
        <f>SUM(D83:D90)</f>
        <v>18596266.84</v>
      </c>
    </row>
    <row r="83" spans="2:4" x14ac:dyDescent="0.2">
      <c r="B83" s="66" t="s">
        <v>39</v>
      </c>
      <c r="C83" s="9">
        <v>1975557.53</v>
      </c>
      <c r="D83" s="67">
        <v>2065713.28</v>
      </c>
    </row>
    <row r="84" spans="2:4" x14ac:dyDescent="0.2">
      <c r="B84" s="66" t="s">
        <v>40</v>
      </c>
      <c r="C84" s="9">
        <v>1584950.99</v>
      </c>
      <c r="D84" s="67">
        <v>1554787.94</v>
      </c>
    </row>
    <row r="85" spans="2:4" x14ac:dyDescent="0.2">
      <c r="B85" s="66" t="s">
        <v>41</v>
      </c>
      <c r="C85" s="9">
        <v>1214517.19</v>
      </c>
      <c r="D85" s="67">
        <v>1600485.78</v>
      </c>
    </row>
    <row r="86" spans="2:4" x14ac:dyDescent="0.2">
      <c r="B86" s="66" t="s">
        <v>42</v>
      </c>
      <c r="C86" s="9">
        <v>800978.52</v>
      </c>
      <c r="D86" s="67">
        <v>813156.71</v>
      </c>
    </row>
    <row r="87" spans="2:4" x14ac:dyDescent="0.2">
      <c r="B87" s="66" t="s">
        <v>43</v>
      </c>
      <c r="C87" s="9">
        <v>6984738.3899999997</v>
      </c>
      <c r="D87" s="67">
        <v>7019749.1299999999</v>
      </c>
    </row>
    <row r="88" spans="2:4" x14ac:dyDescent="0.2">
      <c r="B88" s="66" t="s">
        <v>44</v>
      </c>
      <c r="C88" s="9">
        <v>1892661.04</v>
      </c>
      <c r="D88" s="67">
        <v>1922108.56</v>
      </c>
    </row>
    <row r="89" spans="2:4" x14ac:dyDescent="0.2">
      <c r="B89" s="66" t="s">
        <v>45</v>
      </c>
      <c r="C89" s="9">
        <v>736338.4</v>
      </c>
      <c r="D89" s="67">
        <v>783520.13</v>
      </c>
    </row>
    <row r="90" spans="2:4" x14ac:dyDescent="0.2">
      <c r="B90" s="66" t="s">
        <v>46</v>
      </c>
      <c r="C90" s="9">
        <v>2660490.88</v>
      </c>
      <c r="D90" s="67">
        <v>2836745.31</v>
      </c>
    </row>
    <row r="91" spans="2:4" x14ac:dyDescent="0.2">
      <c r="B91" s="63" t="s">
        <v>47</v>
      </c>
      <c r="C91" s="8">
        <f>C81-C82</f>
        <v>31596.75</v>
      </c>
      <c r="D91" s="65">
        <f>D81-D82</f>
        <v>34704.710000000894</v>
      </c>
    </row>
    <row r="92" spans="2:4" x14ac:dyDescent="0.2">
      <c r="B92" s="63" t="s">
        <v>48</v>
      </c>
      <c r="C92" s="8">
        <f>SUM(C93:C95)</f>
        <v>202868.89</v>
      </c>
      <c r="D92" s="65">
        <f>SUM(D93:D95)</f>
        <v>220598.99</v>
      </c>
    </row>
    <row r="93" spans="2:4" x14ac:dyDescent="0.2">
      <c r="B93" s="66" t="s">
        <v>49</v>
      </c>
      <c r="C93" s="9">
        <v>0</v>
      </c>
      <c r="D93" s="67">
        <v>0</v>
      </c>
    </row>
    <row r="94" spans="2:4" x14ac:dyDescent="0.2">
      <c r="B94" s="66" t="s">
        <v>50</v>
      </c>
      <c r="C94" s="9">
        <v>0</v>
      </c>
      <c r="D94" s="67">
        <v>0</v>
      </c>
    </row>
    <row r="95" spans="2:4" x14ac:dyDescent="0.2">
      <c r="B95" s="66" t="s">
        <v>51</v>
      </c>
      <c r="C95" s="9">
        <v>202868.89</v>
      </c>
      <c r="D95" s="67">
        <v>220598.99</v>
      </c>
    </row>
    <row r="96" spans="2:4" x14ac:dyDescent="0.2">
      <c r="B96" s="63" t="s">
        <v>52</v>
      </c>
      <c r="C96" s="8">
        <v>938.01</v>
      </c>
      <c r="D96" s="65">
        <v>1362.67</v>
      </c>
    </row>
    <row r="97" spans="1:4" x14ac:dyDescent="0.2">
      <c r="B97" s="63" t="s">
        <v>53</v>
      </c>
      <c r="C97" s="8">
        <f>C91+C92-C96</f>
        <v>233527.63</v>
      </c>
      <c r="D97" s="65">
        <f>D91+D92-D96</f>
        <v>253941.03000000087</v>
      </c>
    </row>
    <row r="98" spans="1:4" x14ac:dyDescent="0.2">
      <c r="B98" s="63" t="s">
        <v>54</v>
      </c>
      <c r="C98" s="8">
        <v>4504.3900000000003</v>
      </c>
      <c r="D98" s="65">
        <v>8953.68</v>
      </c>
    </row>
    <row r="99" spans="1:4" x14ac:dyDescent="0.2">
      <c r="B99" s="63" t="s">
        <v>55</v>
      </c>
      <c r="C99" s="8">
        <v>186566.03</v>
      </c>
      <c r="D99" s="65">
        <v>203067.09</v>
      </c>
    </row>
    <row r="100" spans="1:4" x14ac:dyDescent="0.2">
      <c r="B100" s="63" t="s">
        <v>56</v>
      </c>
      <c r="C100" s="8">
        <f>C97+C98-C99</f>
        <v>51465.99000000002</v>
      </c>
      <c r="D100" s="65">
        <f>D97+D98-D99</f>
        <v>59827.620000000898</v>
      </c>
    </row>
    <row r="101" spans="1:4" x14ac:dyDescent="0.2">
      <c r="B101" s="63" t="s">
        <v>57</v>
      </c>
      <c r="C101" s="8">
        <v>0</v>
      </c>
      <c r="D101" s="65">
        <v>0</v>
      </c>
    </row>
    <row r="102" spans="1:4" x14ac:dyDescent="0.2">
      <c r="B102" s="63" t="s">
        <v>58</v>
      </c>
      <c r="C102" s="8">
        <f>C100+C101</f>
        <v>51465.99000000002</v>
      </c>
      <c r="D102" s="65">
        <f>D100+D101</f>
        <v>59827.620000000898</v>
      </c>
    </row>
    <row r="103" spans="1:4" x14ac:dyDescent="0.2">
      <c r="B103" s="63" t="s">
        <v>59</v>
      </c>
      <c r="C103" s="8">
        <v>0</v>
      </c>
      <c r="D103" s="65">
        <v>0</v>
      </c>
    </row>
    <row r="104" spans="1:4" x14ac:dyDescent="0.2">
      <c r="B104" s="68" t="s">
        <v>60</v>
      </c>
      <c r="C104" s="8">
        <v>0</v>
      </c>
      <c r="D104" s="65">
        <v>0</v>
      </c>
    </row>
    <row r="105" spans="1:4" x14ac:dyDescent="0.2">
      <c r="B105" s="69" t="s">
        <v>61</v>
      </c>
      <c r="C105" s="70">
        <f>C102-C103</f>
        <v>51465.99000000002</v>
      </c>
      <c r="D105" s="71">
        <f>D102-D103</f>
        <v>59827.620000000898</v>
      </c>
    </row>
    <row r="109" spans="1:4" x14ac:dyDescent="0.2">
      <c r="A109" s="7" t="s">
        <v>216</v>
      </c>
      <c r="B109" s="7" t="s">
        <v>77</v>
      </c>
    </row>
    <row r="110" spans="1:4" x14ac:dyDescent="0.2">
      <c r="B110" s="79" t="s">
        <v>83</v>
      </c>
      <c r="C110" s="80" t="s">
        <v>84</v>
      </c>
    </row>
    <row r="111" spans="1:4" ht="14.25" x14ac:dyDescent="0.2">
      <c r="B111" s="81" t="s">
        <v>80</v>
      </c>
      <c r="C111" s="82">
        <v>5239.63</v>
      </c>
    </row>
    <row r="112" spans="1:4" ht="26.25" x14ac:dyDescent="0.2">
      <c r="B112" s="81" t="s">
        <v>81</v>
      </c>
      <c r="C112" s="82">
        <v>1158.8399999999999</v>
      </c>
    </row>
    <row r="113" spans="1:6" ht="24" x14ac:dyDescent="0.2">
      <c r="B113" s="81" t="s">
        <v>78</v>
      </c>
      <c r="C113" s="82">
        <v>773.55</v>
      </c>
    </row>
    <row r="114" spans="1:6" x14ac:dyDescent="0.2">
      <c r="B114" s="81" t="s">
        <v>79</v>
      </c>
      <c r="C114" s="82">
        <v>237426.6</v>
      </c>
    </row>
    <row r="115" spans="1:6" ht="25.5" x14ac:dyDescent="0.2">
      <c r="B115" s="83" t="s">
        <v>82</v>
      </c>
      <c r="C115" s="84">
        <v>224.3</v>
      </c>
    </row>
    <row r="119" spans="1:6" x14ac:dyDescent="0.2">
      <c r="A119" s="7" t="s">
        <v>217</v>
      </c>
      <c r="B119" s="7" t="s">
        <v>85</v>
      </c>
    </row>
    <row r="120" spans="1:6" ht="67.5" x14ac:dyDescent="0.2">
      <c r="B120" s="79" t="s">
        <v>86</v>
      </c>
      <c r="C120" s="85" t="s">
        <v>87</v>
      </c>
      <c r="D120" s="85" t="s">
        <v>88</v>
      </c>
      <c r="E120" s="86" t="s">
        <v>89</v>
      </c>
      <c r="F120" s="87" t="s">
        <v>98</v>
      </c>
    </row>
    <row r="121" spans="1:6" ht="12.75" x14ac:dyDescent="0.2">
      <c r="B121" s="42" t="s">
        <v>90</v>
      </c>
      <c r="C121" s="88" t="s">
        <v>95</v>
      </c>
      <c r="D121" s="43">
        <v>578.35</v>
      </c>
      <c r="E121" s="43">
        <v>354.05</v>
      </c>
      <c r="F121" s="61">
        <f>D121-E121</f>
        <v>224.3</v>
      </c>
    </row>
    <row r="122" spans="1:6" x14ac:dyDescent="0.2">
      <c r="B122" s="42" t="s">
        <v>96</v>
      </c>
      <c r="C122" s="88" t="s">
        <v>97</v>
      </c>
      <c r="D122" s="43">
        <v>7079.7</v>
      </c>
      <c r="E122" s="43">
        <v>4294.92</v>
      </c>
      <c r="F122" s="61">
        <f>D122-E122</f>
        <v>2784.7799999999997</v>
      </c>
    </row>
    <row r="123" spans="1:6" x14ac:dyDescent="0.2">
      <c r="B123" s="42" t="s">
        <v>91</v>
      </c>
      <c r="C123" s="88" t="s">
        <v>94</v>
      </c>
      <c r="D123" s="43">
        <v>1433072.72</v>
      </c>
      <c r="E123" s="43">
        <v>939227.11</v>
      </c>
      <c r="F123" s="61">
        <f>D123-E123</f>
        <v>493845.61</v>
      </c>
    </row>
    <row r="124" spans="1:6" x14ac:dyDescent="0.2">
      <c r="B124" s="51" t="s">
        <v>92</v>
      </c>
      <c r="C124" s="89" t="s">
        <v>93</v>
      </c>
      <c r="D124" s="76">
        <v>443876.72</v>
      </c>
      <c r="E124" s="76">
        <v>206450.12</v>
      </c>
      <c r="F124" s="140">
        <f>(D124-E124)*'Analiza wrażliwości'!$E$6</f>
        <v>237426.59999999998</v>
      </c>
    </row>
    <row r="128" spans="1:6" x14ac:dyDescent="0.2">
      <c r="A128" s="7" t="s">
        <v>218</v>
      </c>
      <c r="B128" s="7" t="s">
        <v>99</v>
      </c>
    </row>
    <row r="129" spans="1:29" x14ac:dyDescent="0.2">
      <c r="B129" s="72" t="s">
        <v>100</v>
      </c>
      <c r="C129" s="12" t="s">
        <v>84</v>
      </c>
    </row>
    <row r="130" spans="1:29" x14ac:dyDescent="0.2">
      <c r="B130" s="42" t="s">
        <v>1</v>
      </c>
      <c r="C130" s="61">
        <f>E13</f>
        <v>4142049.6</v>
      </c>
    </row>
    <row r="131" spans="1:29" x14ac:dyDescent="0.2">
      <c r="B131" s="51" t="s">
        <v>101</v>
      </c>
      <c r="C131" s="140">
        <f>ROUND(0.85%*C130*'Analiza wrażliwości'!$D$6,2)</f>
        <v>35207.42</v>
      </c>
    </row>
    <row r="135" spans="1:29" x14ac:dyDescent="0.2">
      <c r="A135" s="7" t="s">
        <v>219</v>
      </c>
      <c r="B135" s="7" t="s">
        <v>102</v>
      </c>
    </row>
    <row r="136" spans="1:29" ht="45" x14ac:dyDescent="0.2">
      <c r="B136" s="79" t="s">
        <v>15</v>
      </c>
      <c r="C136" s="85" t="s">
        <v>0</v>
      </c>
      <c r="D136" s="85" t="s">
        <v>108</v>
      </c>
      <c r="E136" s="86" t="s">
        <v>109</v>
      </c>
      <c r="F136" s="86" t="s">
        <v>110</v>
      </c>
      <c r="G136" s="86" t="s">
        <v>111</v>
      </c>
      <c r="H136" s="103" t="s">
        <v>134</v>
      </c>
    </row>
    <row r="137" spans="1:29" x14ac:dyDescent="0.2">
      <c r="B137" s="42" t="s">
        <v>103</v>
      </c>
      <c r="C137" s="43"/>
      <c r="D137" s="43"/>
      <c r="E137" s="43">
        <v>1389214.57</v>
      </c>
      <c r="F137" s="43"/>
      <c r="G137" s="47"/>
      <c r="H137" s="48"/>
    </row>
    <row r="138" spans="1:29" x14ac:dyDescent="0.2">
      <c r="B138" s="42" t="s">
        <v>104</v>
      </c>
      <c r="C138" s="43">
        <v>4185181.15</v>
      </c>
      <c r="D138" s="43">
        <v>237426.6</v>
      </c>
      <c r="E138" s="43">
        <v>661218.36</v>
      </c>
      <c r="F138" s="43">
        <f>$E$137-E138</f>
        <v>727996.21000000008</v>
      </c>
      <c r="G138" s="49">
        <f>ROUND(F138/$E$137,4)</f>
        <v>0.52400000000000002</v>
      </c>
      <c r="H138" s="61">
        <f>C138/F138</f>
        <v>5.7489051350967877</v>
      </c>
      <c r="I138" s="43"/>
    </row>
    <row r="139" spans="1:29" x14ac:dyDescent="0.2">
      <c r="B139" s="42" t="s">
        <v>105</v>
      </c>
      <c r="C139" s="43">
        <v>3985181.15</v>
      </c>
      <c r="D139" s="43">
        <v>198544.63</v>
      </c>
      <c r="E139" s="43">
        <v>783578.66</v>
      </c>
      <c r="F139" s="43">
        <f>$E$137-E139</f>
        <v>605635.91</v>
      </c>
      <c r="G139" s="49">
        <f>ROUND(F139/$E$137,4)</f>
        <v>0.436</v>
      </c>
      <c r="H139" s="61">
        <f>C139/F139</f>
        <v>6.5801599347040032</v>
      </c>
    </row>
    <row r="140" spans="1:29" x14ac:dyDescent="0.2">
      <c r="B140" s="42" t="s">
        <v>106</v>
      </c>
      <c r="C140" s="43">
        <v>3261627.74</v>
      </c>
      <c r="D140" s="43">
        <v>124049.83</v>
      </c>
      <c r="E140" s="43">
        <v>954815.93</v>
      </c>
      <c r="F140" s="43">
        <f>$E$137-E140</f>
        <v>434398.64</v>
      </c>
      <c r="G140" s="49">
        <f>ROUND(F140/$E$137,4)</f>
        <v>0.31269999999999998</v>
      </c>
      <c r="H140" s="61">
        <f>C140/F140</f>
        <v>7.508374657894878</v>
      </c>
    </row>
    <row r="141" spans="1:29" x14ac:dyDescent="0.2">
      <c r="B141" s="51" t="s">
        <v>107</v>
      </c>
      <c r="C141" s="76">
        <v>1950549.88</v>
      </c>
      <c r="D141" s="76">
        <v>97029.67</v>
      </c>
      <c r="E141" s="76">
        <v>1133615.92</v>
      </c>
      <c r="F141" s="76">
        <f>$E$137-E141</f>
        <v>255598.65000000014</v>
      </c>
      <c r="G141" s="52">
        <f>ROUND(F141/$E$137,4)</f>
        <v>0.184</v>
      </c>
      <c r="H141" s="62">
        <f>C141/F141</f>
        <v>7.6312996175840473</v>
      </c>
    </row>
    <row r="143" spans="1:29" ht="22.5" x14ac:dyDescent="0.2">
      <c r="B143" s="72" t="s">
        <v>15</v>
      </c>
      <c r="C143" s="85" t="s">
        <v>112</v>
      </c>
      <c r="D143" s="86" t="s">
        <v>113</v>
      </c>
      <c r="E143" s="11">
        <v>2016</v>
      </c>
      <c r="F143" s="11">
        <v>2017</v>
      </c>
      <c r="G143" s="11">
        <v>2018</v>
      </c>
      <c r="H143" s="11">
        <v>2019</v>
      </c>
      <c r="I143" s="11">
        <v>2020</v>
      </c>
      <c r="J143" s="11">
        <v>2021</v>
      </c>
      <c r="K143" s="11">
        <v>2022</v>
      </c>
      <c r="L143" s="11">
        <v>2023</v>
      </c>
      <c r="M143" s="11">
        <v>2024</v>
      </c>
      <c r="N143" s="11">
        <v>2025</v>
      </c>
      <c r="O143" s="11">
        <v>2026</v>
      </c>
      <c r="P143" s="11">
        <v>2027</v>
      </c>
      <c r="Q143" s="11">
        <v>2028</v>
      </c>
      <c r="R143" s="11">
        <v>2029</v>
      </c>
      <c r="S143" s="11">
        <v>2030</v>
      </c>
      <c r="T143" s="11">
        <v>2031</v>
      </c>
      <c r="U143" s="11">
        <v>2032</v>
      </c>
      <c r="V143" s="11">
        <v>2033</v>
      </c>
      <c r="W143" s="11">
        <v>2034</v>
      </c>
      <c r="X143" s="11">
        <v>2035</v>
      </c>
      <c r="Y143" s="11">
        <v>2036</v>
      </c>
      <c r="Z143" s="11">
        <v>2037</v>
      </c>
      <c r="AA143" s="11">
        <v>2038</v>
      </c>
      <c r="AB143" s="11">
        <v>2039</v>
      </c>
      <c r="AC143" s="12">
        <v>2040</v>
      </c>
    </row>
    <row r="144" spans="1:29" x14ac:dyDescent="0.2">
      <c r="B144" s="92" t="s">
        <v>104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4"/>
    </row>
    <row r="145" spans="1:29" x14ac:dyDescent="0.2">
      <c r="B145" s="42" t="s">
        <v>0</v>
      </c>
      <c r="C145" s="142">
        <f>ROUND(D145/D146,2)</f>
        <v>0.42</v>
      </c>
      <c r="D145" s="46">
        <f>NPV(sd_af,F145:AC145)+E145</f>
        <v>4494465.7128369845</v>
      </c>
      <c r="E145" s="43">
        <f>ROUND(($C$38/$E$38)*C138,2)</f>
        <v>968021.36</v>
      </c>
      <c r="F145" s="43">
        <f>C138-E145</f>
        <v>3217159.79</v>
      </c>
      <c r="G145" s="43"/>
      <c r="H145" s="43"/>
      <c r="I145" s="43"/>
      <c r="J145" s="43"/>
      <c r="K145" s="43"/>
      <c r="L145" s="43">
        <f>ROUND(0.85%*C138,2)</f>
        <v>35574.04</v>
      </c>
      <c r="M145" s="43">
        <f>L145</f>
        <v>35574.04</v>
      </c>
      <c r="N145" s="43">
        <f t="shared" ref="N145:AC145" si="2">M145</f>
        <v>35574.04</v>
      </c>
      <c r="O145" s="43">
        <f t="shared" si="2"/>
        <v>35574.04</v>
      </c>
      <c r="P145" s="43">
        <f t="shared" si="2"/>
        <v>35574.04</v>
      </c>
      <c r="Q145" s="43">
        <f t="shared" si="2"/>
        <v>35574.04</v>
      </c>
      <c r="R145" s="43">
        <f t="shared" si="2"/>
        <v>35574.04</v>
      </c>
      <c r="S145" s="43">
        <f t="shared" si="2"/>
        <v>35574.04</v>
      </c>
      <c r="T145" s="43">
        <f t="shared" si="2"/>
        <v>35574.04</v>
      </c>
      <c r="U145" s="43">
        <f t="shared" si="2"/>
        <v>35574.04</v>
      </c>
      <c r="V145" s="43">
        <f t="shared" si="2"/>
        <v>35574.04</v>
      </c>
      <c r="W145" s="43">
        <f t="shared" si="2"/>
        <v>35574.04</v>
      </c>
      <c r="X145" s="43">
        <f t="shared" si="2"/>
        <v>35574.04</v>
      </c>
      <c r="Y145" s="43">
        <f t="shared" si="2"/>
        <v>35574.04</v>
      </c>
      <c r="Z145" s="43">
        <f t="shared" si="2"/>
        <v>35574.04</v>
      </c>
      <c r="AA145" s="43">
        <f t="shared" si="2"/>
        <v>35574.04</v>
      </c>
      <c r="AB145" s="43">
        <f t="shared" si="2"/>
        <v>35574.04</v>
      </c>
      <c r="AC145" s="61">
        <f t="shared" si="2"/>
        <v>35574.04</v>
      </c>
    </row>
    <row r="146" spans="1:29" x14ac:dyDescent="0.2">
      <c r="B146" s="42" t="s">
        <v>114</v>
      </c>
      <c r="C146" s="142"/>
      <c r="D146" s="46">
        <f>NPV(sd_af,F146:AC146)+E146</f>
        <v>10815724.42618452</v>
      </c>
      <c r="E146" s="43"/>
      <c r="F146" s="43"/>
      <c r="G146" s="43">
        <f>F138</f>
        <v>727996.21000000008</v>
      </c>
      <c r="H146" s="43">
        <f>G146</f>
        <v>727996.21000000008</v>
      </c>
      <c r="I146" s="43">
        <f t="shared" ref="I146:AC146" si="3">H146</f>
        <v>727996.21000000008</v>
      </c>
      <c r="J146" s="43">
        <f t="shared" si="3"/>
        <v>727996.21000000008</v>
      </c>
      <c r="K146" s="43">
        <f t="shared" si="3"/>
        <v>727996.21000000008</v>
      </c>
      <c r="L146" s="43">
        <f t="shared" si="3"/>
        <v>727996.21000000008</v>
      </c>
      <c r="M146" s="43">
        <f t="shared" si="3"/>
        <v>727996.21000000008</v>
      </c>
      <c r="N146" s="43">
        <f t="shared" si="3"/>
        <v>727996.21000000008</v>
      </c>
      <c r="O146" s="43">
        <f t="shared" si="3"/>
        <v>727996.21000000008</v>
      </c>
      <c r="P146" s="43">
        <f t="shared" si="3"/>
        <v>727996.21000000008</v>
      </c>
      <c r="Q146" s="43">
        <f t="shared" si="3"/>
        <v>727996.21000000008</v>
      </c>
      <c r="R146" s="43">
        <f t="shared" si="3"/>
        <v>727996.21000000008</v>
      </c>
      <c r="S146" s="43">
        <f t="shared" si="3"/>
        <v>727996.21000000008</v>
      </c>
      <c r="T146" s="43">
        <f t="shared" si="3"/>
        <v>727996.21000000008</v>
      </c>
      <c r="U146" s="43">
        <f t="shared" si="3"/>
        <v>727996.21000000008</v>
      </c>
      <c r="V146" s="43">
        <f t="shared" si="3"/>
        <v>727996.21000000008</v>
      </c>
      <c r="W146" s="43">
        <f t="shared" si="3"/>
        <v>727996.21000000008</v>
      </c>
      <c r="X146" s="43">
        <f t="shared" si="3"/>
        <v>727996.21000000008</v>
      </c>
      <c r="Y146" s="43">
        <f t="shared" si="3"/>
        <v>727996.21000000008</v>
      </c>
      <c r="Z146" s="43">
        <f t="shared" si="3"/>
        <v>727996.21000000008</v>
      </c>
      <c r="AA146" s="43">
        <f t="shared" si="3"/>
        <v>727996.21000000008</v>
      </c>
      <c r="AB146" s="43">
        <f t="shared" si="3"/>
        <v>727996.21000000008</v>
      </c>
      <c r="AC146" s="61">
        <f t="shared" si="3"/>
        <v>727996.21000000008</v>
      </c>
    </row>
    <row r="147" spans="1:29" x14ac:dyDescent="0.2">
      <c r="B147" s="92" t="s">
        <v>105</v>
      </c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4"/>
    </row>
    <row r="148" spans="1:29" x14ac:dyDescent="0.2">
      <c r="B148" s="42" t="s">
        <v>0</v>
      </c>
      <c r="C148" s="142">
        <f>ROUND(D148/D149,2)</f>
        <v>0.48</v>
      </c>
      <c r="D148" s="46">
        <f>NPV(sd_af,F148:AC148)+E148</f>
        <v>4279685.7281667739</v>
      </c>
      <c r="E148" s="43">
        <f>ROUND(($C$38/$E$38)*C139,2)</f>
        <v>921761.88</v>
      </c>
      <c r="F148" s="43">
        <f>C139-E148</f>
        <v>3063419.27</v>
      </c>
      <c r="G148" s="43"/>
      <c r="H148" s="43"/>
      <c r="I148" s="43"/>
      <c r="J148" s="43"/>
      <c r="K148" s="43"/>
      <c r="L148" s="43">
        <f>ROUND(0.85%*C139,2)</f>
        <v>33874.04</v>
      </c>
      <c r="M148" s="43">
        <f>L148</f>
        <v>33874.04</v>
      </c>
      <c r="N148" s="43">
        <f t="shared" ref="N148:AC148" si="4">M148</f>
        <v>33874.04</v>
      </c>
      <c r="O148" s="43">
        <f t="shared" si="4"/>
        <v>33874.04</v>
      </c>
      <c r="P148" s="43">
        <f t="shared" si="4"/>
        <v>33874.04</v>
      </c>
      <c r="Q148" s="43">
        <f t="shared" si="4"/>
        <v>33874.04</v>
      </c>
      <c r="R148" s="43">
        <f t="shared" si="4"/>
        <v>33874.04</v>
      </c>
      <c r="S148" s="43">
        <f t="shared" si="4"/>
        <v>33874.04</v>
      </c>
      <c r="T148" s="43">
        <f t="shared" si="4"/>
        <v>33874.04</v>
      </c>
      <c r="U148" s="43">
        <f t="shared" si="4"/>
        <v>33874.04</v>
      </c>
      <c r="V148" s="43">
        <f t="shared" si="4"/>
        <v>33874.04</v>
      </c>
      <c r="W148" s="43">
        <f t="shared" si="4"/>
        <v>33874.04</v>
      </c>
      <c r="X148" s="43">
        <f t="shared" si="4"/>
        <v>33874.04</v>
      </c>
      <c r="Y148" s="43">
        <f t="shared" si="4"/>
        <v>33874.04</v>
      </c>
      <c r="Z148" s="43">
        <f t="shared" si="4"/>
        <v>33874.04</v>
      </c>
      <c r="AA148" s="43">
        <f t="shared" si="4"/>
        <v>33874.04</v>
      </c>
      <c r="AB148" s="43">
        <f t="shared" si="4"/>
        <v>33874.04</v>
      </c>
      <c r="AC148" s="61">
        <f t="shared" si="4"/>
        <v>33874.04</v>
      </c>
    </row>
    <row r="149" spans="1:29" x14ac:dyDescent="0.2">
      <c r="B149" s="42" t="s">
        <v>114</v>
      </c>
      <c r="C149" s="142"/>
      <c r="D149" s="46">
        <f>NPV(sd_af,F149:AC149)+E149</f>
        <v>8997836.8227514401</v>
      </c>
      <c r="E149" s="43"/>
      <c r="F149" s="43"/>
      <c r="G149" s="43">
        <f>F139</f>
        <v>605635.91</v>
      </c>
      <c r="H149" s="43">
        <f>G149</f>
        <v>605635.91</v>
      </c>
      <c r="I149" s="43">
        <f t="shared" ref="I149:AC149" si="5">H149</f>
        <v>605635.91</v>
      </c>
      <c r="J149" s="43">
        <f t="shared" si="5"/>
        <v>605635.91</v>
      </c>
      <c r="K149" s="43">
        <f t="shared" si="5"/>
        <v>605635.91</v>
      </c>
      <c r="L149" s="43">
        <f t="shared" si="5"/>
        <v>605635.91</v>
      </c>
      <c r="M149" s="43">
        <f t="shared" si="5"/>
        <v>605635.91</v>
      </c>
      <c r="N149" s="43">
        <f t="shared" si="5"/>
        <v>605635.91</v>
      </c>
      <c r="O149" s="43">
        <f t="shared" si="5"/>
        <v>605635.91</v>
      </c>
      <c r="P149" s="43">
        <f t="shared" si="5"/>
        <v>605635.91</v>
      </c>
      <c r="Q149" s="43">
        <f t="shared" si="5"/>
        <v>605635.91</v>
      </c>
      <c r="R149" s="43">
        <f t="shared" si="5"/>
        <v>605635.91</v>
      </c>
      <c r="S149" s="43">
        <f t="shared" si="5"/>
        <v>605635.91</v>
      </c>
      <c r="T149" s="43">
        <f t="shared" si="5"/>
        <v>605635.91</v>
      </c>
      <c r="U149" s="43">
        <f t="shared" si="5"/>
        <v>605635.91</v>
      </c>
      <c r="V149" s="43">
        <f t="shared" si="5"/>
        <v>605635.91</v>
      </c>
      <c r="W149" s="43">
        <f t="shared" si="5"/>
        <v>605635.91</v>
      </c>
      <c r="X149" s="43">
        <f t="shared" si="5"/>
        <v>605635.91</v>
      </c>
      <c r="Y149" s="43">
        <f t="shared" si="5"/>
        <v>605635.91</v>
      </c>
      <c r="Z149" s="43">
        <f t="shared" si="5"/>
        <v>605635.91</v>
      </c>
      <c r="AA149" s="43">
        <f t="shared" si="5"/>
        <v>605635.91</v>
      </c>
      <c r="AB149" s="43">
        <f t="shared" si="5"/>
        <v>605635.91</v>
      </c>
      <c r="AC149" s="61">
        <f t="shared" si="5"/>
        <v>605635.91</v>
      </c>
    </row>
    <row r="150" spans="1:29" x14ac:dyDescent="0.2">
      <c r="B150" s="92" t="s">
        <v>106</v>
      </c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x14ac:dyDescent="0.2">
      <c r="B151" s="42" t="s">
        <v>0</v>
      </c>
      <c r="C151" s="142">
        <f>ROUND(D151/D152,2)</f>
        <v>0.54</v>
      </c>
      <c r="D151" s="46">
        <f>NPV(sd_af,F151:AC151)+E151</f>
        <v>3502661.8263841728</v>
      </c>
      <c r="E151" s="43">
        <f>ROUND(($C$38/$E$38)*C140,2)</f>
        <v>754405.89</v>
      </c>
      <c r="F151" s="43">
        <f>C140-E151</f>
        <v>2507221.85</v>
      </c>
      <c r="G151" s="43"/>
      <c r="H151" s="43"/>
      <c r="I151" s="43"/>
      <c r="J151" s="43"/>
      <c r="K151" s="43"/>
      <c r="L151" s="43">
        <f>ROUND(0.85%*C140,2)</f>
        <v>27723.84</v>
      </c>
      <c r="M151" s="43">
        <f>L151</f>
        <v>27723.84</v>
      </c>
      <c r="N151" s="43">
        <f t="shared" ref="N151:AC151" si="6">M151</f>
        <v>27723.84</v>
      </c>
      <c r="O151" s="43">
        <f t="shared" si="6"/>
        <v>27723.84</v>
      </c>
      <c r="P151" s="43">
        <f t="shared" si="6"/>
        <v>27723.84</v>
      </c>
      <c r="Q151" s="43">
        <f t="shared" si="6"/>
        <v>27723.84</v>
      </c>
      <c r="R151" s="43">
        <f t="shared" si="6"/>
        <v>27723.84</v>
      </c>
      <c r="S151" s="43">
        <f t="shared" si="6"/>
        <v>27723.84</v>
      </c>
      <c r="T151" s="43">
        <f t="shared" si="6"/>
        <v>27723.84</v>
      </c>
      <c r="U151" s="43">
        <f t="shared" si="6"/>
        <v>27723.84</v>
      </c>
      <c r="V151" s="43">
        <f t="shared" si="6"/>
        <v>27723.84</v>
      </c>
      <c r="W151" s="43">
        <f t="shared" si="6"/>
        <v>27723.84</v>
      </c>
      <c r="X151" s="43">
        <f t="shared" si="6"/>
        <v>27723.84</v>
      </c>
      <c r="Y151" s="43">
        <f t="shared" si="6"/>
        <v>27723.84</v>
      </c>
      <c r="Z151" s="43">
        <f t="shared" si="6"/>
        <v>27723.84</v>
      </c>
      <c r="AA151" s="43">
        <f t="shared" si="6"/>
        <v>27723.84</v>
      </c>
      <c r="AB151" s="43">
        <f t="shared" si="6"/>
        <v>27723.84</v>
      </c>
      <c r="AC151" s="61">
        <f t="shared" si="6"/>
        <v>27723.84</v>
      </c>
    </row>
    <row r="152" spans="1:29" x14ac:dyDescent="0.2">
      <c r="B152" s="42" t="s">
        <v>114</v>
      </c>
      <c r="C152" s="142"/>
      <c r="D152" s="46">
        <f>NPV(sd_af,F152:AC152)+E152</f>
        <v>6453791.814863069</v>
      </c>
      <c r="E152" s="43"/>
      <c r="F152" s="43"/>
      <c r="G152" s="43">
        <f>F140</f>
        <v>434398.64</v>
      </c>
      <c r="H152" s="43">
        <f>G152</f>
        <v>434398.64</v>
      </c>
      <c r="I152" s="43">
        <f t="shared" ref="I152:AC152" si="7">H152</f>
        <v>434398.64</v>
      </c>
      <c r="J152" s="43">
        <f t="shared" si="7"/>
        <v>434398.64</v>
      </c>
      <c r="K152" s="43">
        <f t="shared" si="7"/>
        <v>434398.64</v>
      </c>
      <c r="L152" s="43">
        <f t="shared" si="7"/>
        <v>434398.64</v>
      </c>
      <c r="M152" s="43">
        <f t="shared" si="7"/>
        <v>434398.64</v>
      </c>
      <c r="N152" s="43">
        <f t="shared" si="7"/>
        <v>434398.64</v>
      </c>
      <c r="O152" s="43">
        <f t="shared" si="7"/>
        <v>434398.64</v>
      </c>
      <c r="P152" s="43">
        <f t="shared" si="7"/>
        <v>434398.64</v>
      </c>
      <c r="Q152" s="43">
        <f t="shared" si="7"/>
        <v>434398.64</v>
      </c>
      <c r="R152" s="43">
        <f t="shared" si="7"/>
        <v>434398.64</v>
      </c>
      <c r="S152" s="43">
        <f t="shared" si="7"/>
        <v>434398.64</v>
      </c>
      <c r="T152" s="43">
        <f t="shared" si="7"/>
        <v>434398.64</v>
      </c>
      <c r="U152" s="43">
        <f t="shared" si="7"/>
        <v>434398.64</v>
      </c>
      <c r="V152" s="43">
        <f t="shared" si="7"/>
        <v>434398.64</v>
      </c>
      <c r="W152" s="43">
        <f t="shared" si="7"/>
        <v>434398.64</v>
      </c>
      <c r="X152" s="43">
        <f t="shared" si="7"/>
        <v>434398.64</v>
      </c>
      <c r="Y152" s="43">
        <f t="shared" si="7"/>
        <v>434398.64</v>
      </c>
      <c r="Z152" s="43">
        <f t="shared" si="7"/>
        <v>434398.64</v>
      </c>
      <c r="AA152" s="43">
        <f t="shared" si="7"/>
        <v>434398.64</v>
      </c>
      <c r="AB152" s="43">
        <f t="shared" si="7"/>
        <v>434398.64</v>
      </c>
      <c r="AC152" s="61">
        <f t="shared" si="7"/>
        <v>434398.64</v>
      </c>
    </row>
    <row r="153" spans="1:29" x14ac:dyDescent="0.2">
      <c r="B153" s="92" t="s">
        <v>107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4"/>
    </row>
    <row r="154" spans="1:29" x14ac:dyDescent="0.2">
      <c r="B154" s="42" t="s">
        <v>0</v>
      </c>
      <c r="C154" s="142">
        <f>ROUND(D154/D155,2)</f>
        <v>0.55000000000000004</v>
      </c>
      <c r="D154" s="46">
        <f>NPV(sd_af,F154:AC154)+E154</f>
        <v>2094695.3152623142</v>
      </c>
      <c r="E154" s="43">
        <f>ROUND(($C$38/$E$38)*C141,2)</f>
        <v>451157.04</v>
      </c>
      <c r="F154" s="43">
        <f>C141-E154</f>
        <v>1499392.8399999999</v>
      </c>
      <c r="G154" s="43"/>
      <c r="H154" s="43"/>
      <c r="I154" s="43"/>
      <c r="J154" s="43"/>
      <c r="K154" s="43"/>
      <c r="L154" s="43">
        <f>ROUND(0.85%*C141,2)</f>
        <v>16579.669999999998</v>
      </c>
      <c r="M154" s="43">
        <f>L154</f>
        <v>16579.669999999998</v>
      </c>
      <c r="N154" s="43">
        <f t="shared" ref="N154:AC154" si="8">M154</f>
        <v>16579.669999999998</v>
      </c>
      <c r="O154" s="43">
        <f t="shared" si="8"/>
        <v>16579.669999999998</v>
      </c>
      <c r="P154" s="43">
        <f t="shared" si="8"/>
        <v>16579.669999999998</v>
      </c>
      <c r="Q154" s="43">
        <f t="shared" si="8"/>
        <v>16579.669999999998</v>
      </c>
      <c r="R154" s="43">
        <f t="shared" si="8"/>
        <v>16579.669999999998</v>
      </c>
      <c r="S154" s="43">
        <f t="shared" si="8"/>
        <v>16579.669999999998</v>
      </c>
      <c r="T154" s="43">
        <f t="shared" si="8"/>
        <v>16579.669999999998</v>
      </c>
      <c r="U154" s="43">
        <f t="shared" si="8"/>
        <v>16579.669999999998</v>
      </c>
      <c r="V154" s="43">
        <f t="shared" si="8"/>
        <v>16579.669999999998</v>
      </c>
      <c r="W154" s="43">
        <f t="shared" si="8"/>
        <v>16579.669999999998</v>
      </c>
      <c r="X154" s="43">
        <f t="shared" si="8"/>
        <v>16579.669999999998</v>
      </c>
      <c r="Y154" s="43">
        <f t="shared" si="8"/>
        <v>16579.669999999998</v>
      </c>
      <c r="Z154" s="43">
        <f t="shared" si="8"/>
        <v>16579.669999999998</v>
      </c>
      <c r="AA154" s="43">
        <f t="shared" si="8"/>
        <v>16579.669999999998</v>
      </c>
      <c r="AB154" s="43">
        <f t="shared" si="8"/>
        <v>16579.669999999998</v>
      </c>
      <c r="AC154" s="61">
        <f t="shared" si="8"/>
        <v>16579.669999999998</v>
      </c>
    </row>
    <row r="155" spans="1:29" x14ac:dyDescent="0.2">
      <c r="B155" s="51" t="s">
        <v>114</v>
      </c>
      <c r="C155" s="143"/>
      <c r="D155" s="91">
        <f>NPV(sd_af,F155:AC155)+E155</f>
        <v>3797388.6733624465</v>
      </c>
      <c r="E155" s="76"/>
      <c r="F155" s="76"/>
      <c r="G155" s="76">
        <f>F141</f>
        <v>255598.65000000014</v>
      </c>
      <c r="H155" s="76">
        <f>G155</f>
        <v>255598.65000000014</v>
      </c>
      <c r="I155" s="76">
        <f t="shared" ref="I155:AC155" si="9">H155</f>
        <v>255598.65000000014</v>
      </c>
      <c r="J155" s="76">
        <f t="shared" si="9"/>
        <v>255598.65000000014</v>
      </c>
      <c r="K155" s="76">
        <f t="shared" si="9"/>
        <v>255598.65000000014</v>
      </c>
      <c r="L155" s="76">
        <f t="shared" si="9"/>
        <v>255598.65000000014</v>
      </c>
      <c r="M155" s="76">
        <f t="shared" si="9"/>
        <v>255598.65000000014</v>
      </c>
      <c r="N155" s="76">
        <f t="shared" si="9"/>
        <v>255598.65000000014</v>
      </c>
      <c r="O155" s="76">
        <f t="shared" si="9"/>
        <v>255598.65000000014</v>
      </c>
      <c r="P155" s="76">
        <f t="shared" si="9"/>
        <v>255598.65000000014</v>
      </c>
      <c r="Q155" s="76">
        <f t="shared" si="9"/>
        <v>255598.65000000014</v>
      </c>
      <c r="R155" s="76">
        <f t="shared" si="9"/>
        <v>255598.65000000014</v>
      </c>
      <c r="S155" s="76">
        <f t="shared" si="9"/>
        <v>255598.65000000014</v>
      </c>
      <c r="T155" s="76">
        <f t="shared" si="9"/>
        <v>255598.65000000014</v>
      </c>
      <c r="U155" s="76">
        <f t="shared" si="9"/>
        <v>255598.65000000014</v>
      </c>
      <c r="V155" s="76">
        <f t="shared" si="9"/>
        <v>255598.65000000014</v>
      </c>
      <c r="W155" s="76">
        <f t="shared" si="9"/>
        <v>255598.65000000014</v>
      </c>
      <c r="X155" s="76">
        <f t="shared" si="9"/>
        <v>255598.65000000014</v>
      </c>
      <c r="Y155" s="76">
        <f t="shared" si="9"/>
        <v>255598.65000000014</v>
      </c>
      <c r="Z155" s="76">
        <f t="shared" si="9"/>
        <v>255598.65000000014</v>
      </c>
      <c r="AA155" s="76">
        <f t="shared" si="9"/>
        <v>255598.65000000014</v>
      </c>
      <c r="AB155" s="76">
        <f t="shared" si="9"/>
        <v>255598.65000000014</v>
      </c>
      <c r="AC155" s="62">
        <f t="shared" si="9"/>
        <v>255598.65000000014</v>
      </c>
    </row>
    <row r="159" spans="1:29" x14ac:dyDescent="0.2">
      <c r="A159" s="7" t="s">
        <v>220</v>
      </c>
      <c r="B159" s="7" t="s">
        <v>115</v>
      </c>
    </row>
    <row r="160" spans="1:29" x14ac:dyDescent="0.2">
      <c r="B160" s="72" t="s">
        <v>15</v>
      </c>
      <c r="C160" s="11">
        <v>2016</v>
      </c>
      <c r="D160" s="11">
        <v>2017</v>
      </c>
      <c r="E160" s="11">
        <v>2018</v>
      </c>
      <c r="F160" s="11">
        <v>2019</v>
      </c>
      <c r="G160" s="11">
        <v>2020</v>
      </c>
      <c r="H160" s="11">
        <v>2021</v>
      </c>
      <c r="I160" s="11">
        <v>2022</v>
      </c>
      <c r="J160" s="11">
        <v>2023</v>
      </c>
      <c r="K160" s="11">
        <v>2024</v>
      </c>
      <c r="L160" s="11">
        <v>2025</v>
      </c>
      <c r="M160" s="11">
        <v>2026</v>
      </c>
      <c r="N160" s="11">
        <v>2027</v>
      </c>
      <c r="O160" s="11">
        <v>2028</v>
      </c>
      <c r="P160" s="11">
        <v>2029</v>
      </c>
      <c r="Q160" s="11">
        <v>2030</v>
      </c>
      <c r="R160" s="11">
        <v>2031</v>
      </c>
      <c r="S160" s="11">
        <v>2032</v>
      </c>
      <c r="T160" s="11">
        <v>2033</v>
      </c>
      <c r="U160" s="11">
        <v>2034</v>
      </c>
      <c r="V160" s="11">
        <v>2035</v>
      </c>
      <c r="W160" s="11">
        <v>2036</v>
      </c>
      <c r="X160" s="11">
        <v>2037</v>
      </c>
      <c r="Y160" s="11">
        <v>2038</v>
      </c>
      <c r="Z160" s="11">
        <v>2039</v>
      </c>
      <c r="AA160" s="12">
        <v>2040</v>
      </c>
      <c r="AB160" s="2"/>
      <c r="AC160" s="2"/>
    </row>
    <row r="161" spans="1:29" x14ac:dyDescent="0.2">
      <c r="B161" s="42" t="s">
        <v>116</v>
      </c>
      <c r="C161" s="43">
        <f>C38</f>
        <v>980820.45</v>
      </c>
      <c r="D161" s="43">
        <f>D38</f>
        <v>3259696.8</v>
      </c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61"/>
      <c r="AB161" s="5"/>
      <c r="AC161" s="5"/>
    </row>
    <row r="162" spans="1:29" x14ac:dyDescent="0.2">
      <c r="B162" s="42" t="s">
        <v>117</v>
      </c>
      <c r="C162" s="43"/>
      <c r="D162" s="43"/>
      <c r="E162" s="43"/>
      <c r="F162" s="43"/>
      <c r="G162" s="43"/>
      <c r="H162" s="43"/>
      <c r="I162" s="43">
        <f>ROUND(5%*E33,2)</f>
        <v>212025.86</v>
      </c>
      <c r="J162" s="43">
        <f>E162</f>
        <v>0</v>
      </c>
      <c r="K162" s="43">
        <f t="shared" ref="K162:AA162" si="10">F162</f>
        <v>0</v>
      </c>
      <c r="L162" s="43">
        <f t="shared" si="10"/>
        <v>0</v>
      </c>
      <c r="M162" s="43">
        <f t="shared" si="10"/>
        <v>0</v>
      </c>
      <c r="N162" s="43">
        <f t="shared" si="10"/>
        <v>212025.86</v>
      </c>
      <c r="O162" s="43">
        <f t="shared" si="10"/>
        <v>0</v>
      </c>
      <c r="P162" s="43">
        <f t="shared" si="10"/>
        <v>0</v>
      </c>
      <c r="Q162" s="43">
        <f t="shared" si="10"/>
        <v>0</v>
      </c>
      <c r="R162" s="43">
        <f t="shared" si="10"/>
        <v>0</v>
      </c>
      <c r="S162" s="43">
        <f t="shared" si="10"/>
        <v>212025.86</v>
      </c>
      <c r="T162" s="43">
        <f t="shared" si="10"/>
        <v>0</v>
      </c>
      <c r="U162" s="43">
        <f t="shared" si="10"/>
        <v>0</v>
      </c>
      <c r="V162" s="43">
        <f t="shared" si="10"/>
        <v>0</v>
      </c>
      <c r="W162" s="43">
        <f t="shared" si="10"/>
        <v>0</v>
      </c>
      <c r="X162" s="43">
        <f t="shared" si="10"/>
        <v>212025.86</v>
      </c>
      <c r="Y162" s="43">
        <f t="shared" si="10"/>
        <v>0</v>
      </c>
      <c r="Z162" s="43">
        <f t="shared" si="10"/>
        <v>0</v>
      </c>
      <c r="AA162" s="61">
        <f t="shared" si="10"/>
        <v>0</v>
      </c>
      <c r="AB162" s="5"/>
      <c r="AC162" s="5"/>
    </row>
    <row r="163" spans="1:29" x14ac:dyDescent="0.2">
      <c r="B163" s="95" t="s">
        <v>18</v>
      </c>
      <c r="C163" s="91">
        <f>C161+C162</f>
        <v>980820.45</v>
      </c>
      <c r="D163" s="91">
        <f t="shared" ref="D163:AA163" si="11">D161+D162</f>
        <v>3259696.8</v>
      </c>
      <c r="E163" s="91">
        <f t="shared" si="11"/>
        <v>0</v>
      </c>
      <c r="F163" s="91">
        <f t="shared" si="11"/>
        <v>0</v>
      </c>
      <c r="G163" s="91">
        <f t="shared" si="11"/>
        <v>0</v>
      </c>
      <c r="H163" s="91">
        <f t="shared" si="11"/>
        <v>0</v>
      </c>
      <c r="I163" s="91">
        <f t="shared" si="11"/>
        <v>212025.86</v>
      </c>
      <c r="J163" s="91">
        <f t="shared" si="11"/>
        <v>0</v>
      </c>
      <c r="K163" s="91">
        <f t="shared" si="11"/>
        <v>0</v>
      </c>
      <c r="L163" s="91">
        <f t="shared" si="11"/>
        <v>0</v>
      </c>
      <c r="M163" s="91">
        <f t="shared" si="11"/>
        <v>0</v>
      </c>
      <c r="N163" s="91">
        <f t="shared" si="11"/>
        <v>212025.86</v>
      </c>
      <c r="O163" s="91">
        <f t="shared" si="11"/>
        <v>0</v>
      </c>
      <c r="P163" s="91">
        <f t="shared" si="11"/>
        <v>0</v>
      </c>
      <c r="Q163" s="91">
        <f t="shared" si="11"/>
        <v>0</v>
      </c>
      <c r="R163" s="91">
        <f t="shared" si="11"/>
        <v>0</v>
      </c>
      <c r="S163" s="91">
        <f t="shared" si="11"/>
        <v>212025.86</v>
      </c>
      <c r="T163" s="91">
        <f t="shared" si="11"/>
        <v>0</v>
      </c>
      <c r="U163" s="91">
        <f t="shared" si="11"/>
        <v>0</v>
      </c>
      <c r="V163" s="91">
        <f t="shared" si="11"/>
        <v>0</v>
      </c>
      <c r="W163" s="91">
        <f t="shared" si="11"/>
        <v>0</v>
      </c>
      <c r="X163" s="91">
        <f t="shared" si="11"/>
        <v>212025.86</v>
      </c>
      <c r="Y163" s="91">
        <f t="shared" si="11"/>
        <v>0</v>
      </c>
      <c r="Z163" s="91">
        <f t="shared" si="11"/>
        <v>0</v>
      </c>
      <c r="AA163" s="96">
        <f t="shared" si="11"/>
        <v>0</v>
      </c>
      <c r="AB163" s="5"/>
      <c r="AC163" s="5"/>
    </row>
    <row r="167" spans="1:29" x14ac:dyDescent="0.2">
      <c r="A167" s="7" t="s">
        <v>221</v>
      </c>
      <c r="B167" s="7" t="s">
        <v>125</v>
      </c>
    </row>
    <row r="168" spans="1:29" x14ac:dyDescent="0.2">
      <c r="B168" s="72" t="s">
        <v>15</v>
      </c>
      <c r="C168" s="11">
        <f t="shared" ref="C168:AA168" si="12">C$160</f>
        <v>2016</v>
      </c>
      <c r="D168" s="11">
        <f t="shared" si="12"/>
        <v>2017</v>
      </c>
      <c r="E168" s="11">
        <f t="shared" si="12"/>
        <v>2018</v>
      </c>
      <c r="F168" s="11">
        <f t="shared" si="12"/>
        <v>2019</v>
      </c>
      <c r="G168" s="11">
        <f t="shared" si="12"/>
        <v>2020</v>
      </c>
      <c r="H168" s="11">
        <f t="shared" si="12"/>
        <v>2021</v>
      </c>
      <c r="I168" s="11">
        <f t="shared" si="12"/>
        <v>2022</v>
      </c>
      <c r="J168" s="11">
        <f t="shared" si="12"/>
        <v>2023</v>
      </c>
      <c r="K168" s="11">
        <f t="shared" si="12"/>
        <v>2024</v>
      </c>
      <c r="L168" s="11">
        <f t="shared" si="12"/>
        <v>2025</v>
      </c>
      <c r="M168" s="11">
        <f t="shared" si="12"/>
        <v>2026</v>
      </c>
      <c r="N168" s="11">
        <f t="shared" si="12"/>
        <v>2027</v>
      </c>
      <c r="O168" s="11">
        <f t="shared" si="12"/>
        <v>2028</v>
      </c>
      <c r="P168" s="11">
        <f t="shared" si="12"/>
        <v>2029</v>
      </c>
      <c r="Q168" s="11">
        <f t="shared" si="12"/>
        <v>2030</v>
      </c>
      <c r="R168" s="11">
        <f t="shared" si="12"/>
        <v>2031</v>
      </c>
      <c r="S168" s="11">
        <f t="shared" si="12"/>
        <v>2032</v>
      </c>
      <c r="T168" s="11">
        <f t="shared" si="12"/>
        <v>2033</v>
      </c>
      <c r="U168" s="11">
        <f t="shared" si="12"/>
        <v>2034</v>
      </c>
      <c r="V168" s="11">
        <f t="shared" si="12"/>
        <v>2035</v>
      </c>
      <c r="W168" s="11">
        <f t="shared" si="12"/>
        <v>2036</v>
      </c>
      <c r="X168" s="11">
        <f t="shared" si="12"/>
        <v>2037</v>
      </c>
      <c r="Y168" s="11">
        <f t="shared" si="12"/>
        <v>2038</v>
      </c>
      <c r="Z168" s="11">
        <f t="shared" si="12"/>
        <v>2039</v>
      </c>
      <c r="AA168" s="12">
        <f t="shared" si="12"/>
        <v>2040</v>
      </c>
    </row>
    <row r="169" spans="1:29" x14ac:dyDescent="0.2">
      <c r="B169" s="100" t="s">
        <v>118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8"/>
    </row>
    <row r="170" spans="1:29" x14ac:dyDescent="0.2">
      <c r="B170" s="100" t="s">
        <v>0</v>
      </c>
      <c r="C170" s="43"/>
      <c r="D170" s="43">
        <f>C163+D163</f>
        <v>4240517.25</v>
      </c>
      <c r="E170" s="43">
        <f>E163</f>
        <v>0</v>
      </c>
      <c r="F170" s="43">
        <f t="shared" ref="F170:AA170" si="13">F163</f>
        <v>0</v>
      </c>
      <c r="G170" s="43">
        <f t="shared" si="13"/>
        <v>0</v>
      </c>
      <c r="H170" s="43">
        <f t="shared" si="13"/>
        <v>0</v>
      </c>
      <c r="I170" s="43">
        <f t="shared" si="13"/>
        <v>212025.86</v>
      </c>
      <c r="J170" s="43">
        <f t="shared" si="13"/>
        <v>0</v>
      </c>
      <c r="K170" s="43">
        <f t="shared" si="13"/>
        <v>0</v>
      </c>
      <c r="L170" s="43">
        <f t="shared" si="13"/>
        <v>0</v>
      </c>
      <c r="M170" s="43">
        <f t="shared" si="13"/>
        <v>0</v>
      </c>
      <c r="N170" s="43">
        <f t="shared" si="13"/>
        <v>212025.86</v>
      </c>
      <c r="O170" s="43">
        <f t="shared" si="13"/>
        <v>0</v>
      </c>
      <c r="P170" s="43">
        <f t="shared" si="13"/>
        <v>0</v>
      </c>
      <c r="Q170" s="43">
        <f t="shared" si="13"/>
        <v>0</v>
      </c>
      <c r="R170" s="43">
        <f t="shared" si="13"/>
        <v>0</v>
      </c>
      <c r="S170" s="43">
        <f t="shared" si="13"/>
        <v>212025.86</v>
      </c>
      <c r="T170" s="43">
        <f t="shared" si="13"/>
        <v>0</v>
      </c>
      <c r="U170" s="43">
        <f t="shared" si="13"/>
        <v>0</v>
      </c>
      <c r="V170" s="43">
        <f t="shared" si="13"/>
        <v>0</v>
      </c>
      <c r="W170" s="43">
        <f t="shared" si="13"/>
        <v>0</v>
      </c>
      <c r="X170" s="43">
        <f t="shared" si="13"/>
        <v>212025.86</v>
      </c>
      <c r="Y170" s="43">
        <f t="shared" si="13"/>
        <v>0</v>
      </c>
      <c r="Z170" s="43">
        <f t="shared" si="13"/>
        <v>0</v>
      </c>
      <c r="AA170" s="61">
        <f t="shared" si="13"/>
        <v>0</v>
      </c>
    </row>
    <row r="171" spans="1:29" x14ac:dyDescent="0.2">
      <c r="B171" s="100" t="s">
        <v>123</v>
      </c>
      <c r="C171" s="43"/>
      <c r="D171" s="43">
        <f>D170</f>
        <v>4240517.25</v>
      </c>
      <c r="E171" s="43">
        <f>D171+E170</f>
        <v>4240517.25</v>
      </c>
      <c r="F171" s="43">
        <f t="shared" ref="F171:AA171" si="14">E171+F170</f>
        <v>4240517.25</v>
      </c>
      <c r="G171" s="43">
        <f t="shared" si="14"/>
        <v>4240517.25</v>
      </c>
      <c r="H171" s="43">
        <f t="shared" si="14"/>
        <v>4240517.25</v>
      </c>
      <c r="I171" s="43">
        <f t="shared" si="14"/>
        <v>4452543.1100000003</v>
      </c>
      <c r="J171" s="43">
        <f t="shared" si="14"/>
        <v>4452543.1100000003</v>
      </c>
      <c r="K171" s="43">
        <f t="shared" si="14"/>
        <v>4452543.1100000003</v>
      </c>
      <c r="L171" s="43">
        <f t="shared" si="14"/>
        <v>4452543.1100000003</v>
      </c>
      <c r="M171" s="43">
        <f t="shared" si="14"/>
        <v>4452543.1100000003</v>
      </c>
      <c r="N171" s="43">
        <f t="shared" si="14"/>
        <v>4664568.9700000007</v>
      </c>
      <c r="O171" s="43">
        <f t="shared" si="14"/>
        <v>4664568.9700000007</v>
      </c>
      <c r="P171" s="43">
        <f t="shared" si="14"/>
        <v>4664568.9700000007</v>
      </c>
      <c r="Q171" s="43">
        <f t="shared" si="14"/>
        <v>4664568.9700000007</v>
      </c>
      <c r="R171" s="43">
        <f t="shared" si="14"/>
        <v>4664568.9700000007</v>
      </c>
      <c r="S171" s="43">
        <f t="shared" si="14"/>
        <v>4876594.830000001</v>
      </c>
      <c r="T171" s="43">
        <f t="shared" si="14"/>
        <v>4876594.830000001</v>
      </c>
      <c r="U171" s="43">
        <f t="shared" si="14"/>
        <v>4876594.830000001</v>
      </c>
      <c r="V171" s="43">
        <f t="shared" si="14"/>
        <v>4876594.830000001</v>
      </c>
      <c r="W171" s="43">
        <f t="shared" si="14"/>
        <v>4876594.830000001</v>
      </c>
      <c r="X171" s="43">
        <f t="shared" si="14"/>
        <v>5088620.6900000013</v>
      </c>
      <c r="Y171" s="43">
        <f t="shared" si="14"/>
        <v>5088620.6900000013</v>
      </c>
      <c r="Z171" s="43">
        <f t="shared" si="14"/>
        <v>5088620.6900000013</v>
      </c>
      <c r="AA171" s="61">
        <f t="shared" si="14"/>
        <v>5088620.6900000013</v>
      </c>
    </row>
    <row r="172" spans="1:29" x14ac:dyDescent="0.2">
      <c r="B172" s="100" t="s">
        <v>121</v>
      </c>
      <c r="C172" s="43"/>
      <c r="D172" s="43"/>
      <c r="E172" s="43">
        <f t="shared" ref="E172:AA172" si="15">ROUND(amortyzacja*E171,2)</f>
        <v>106012.93</v>
      </c>
      <c r="F172" s="43">
        <f t="shared" si="15"/>
        <v>106012.93</v>
      </c>
      <c r="G172" s="43">
        <f t="shared" si="15"/>
        <v>106012.93</v>
      </c>
      <c r="H172" s="43">
        <f t="shared" si="15"/>
        <v>106012.93</v>
      </c>
      <c r="I172" s="43">
        <f t="shared" si="15"/>
        <v>111313.58</v>
      </c>
      <c r="J172" s="43">
        <f t="shared" si="15"/>
        <v>111313.58</v>
      </c>
      <c r="K172" s="43">
        <f t="shared" si="15"/>
        <v>111313.58</v>
      </c>
      <c r="L172" s="43">
        <f t="shared" si="15"/>
        <v>111313.58</v>
      </c>
      <c r="M172" s="43">
        <f t="shared" si="15"/>
        <v>111313.58</v>
      </c>
      <c r="N172" s="43">
        <f t="shared" si="15"/>
        <v>116614.22</v>
      </c>
      <c r="O172" s="43">
        <f t="shared" si="15"/>
        <v>116614.22</v>
      </c>
      <c r="P172" s="43">
        <f t="shared" si="15"/>
        <v>116614.22</v>
      </c>
      <c r="Q172" s="43">
        <f t="shared" si="15"/>
        <v>116614.22</v>
      </c>
      <c r="R172" s="43">
        <f t="shared" si="15"/>
        <v>116614.22</v>
      </c>
      <c r="S172" s="43">
        <f t="shared" si="15"/>
        <v>121914.87</v>
      </c>
      <c r="T172" s="43">
        <f t="shared" si="15"/>
        <v>121914.87</v>
      </c>
      <c r="U172" s="43">
        <f t="shared" si="15"/>
        <v>121914.87</v>
      </c>
      <c r="V172" s="43">
        <f t="shared" si="15"/>
        <v>121914.87</v>
      </c>
      <c r="W172" s="43">
        <f t="shared" si="15"/>
        <v>121914.87</v>
      </c>
      <c r="X172" s="43">
        <f t="shared" si="15"/>
        <v>127215.52</v>
      </c>
      <c r="Y172" s="43">
        <f t="shared" si="15"/>
        <v>127215.52</v>
      </c>
      <c r="Z172" s="43">
        <f t="shared" si="15"/>
        <v>127215.52</v>
      </c>
      <c r="AA172" s="61">
        <f t="shared" si="15"/>
        <v>127215.52</v>
      </c>
    </row>
    <row r="173" spans="1:29" x14ac:dyDescent="0.2">
      <c r="B173" s="100" t="s">
        <v>122</v>
      </c>
      <c r="C173" s="43"/>
      <c r="D173" s="43">
        <f>C173+D172</f>
        <v>0</v>
      </c>
      <c r="E173" s="43">
        <f t="shared" ref="E173:AA173" si="16">D173+E172</f>
        <v>106012.93</v>
      </c>
      <c r="F173" s="43">
        <f t="shared" si="16"/>
        <v>212025.86</v>
      </c>
      <c r="G173" s="43">
        <f t="shared" si="16"/>
        <v>318038.78999999998</v>
      </c>
      <c r="H173" s="43">
        <f t="shared" si="16"/>
        <v>424051.72</v>
      </c>
      <c r="I173" s="43">
        <f t="shared" si="16"/>
        <v>535365.29999999993</v>
      </c>
      <c r="J173" s="43">
        <f t="shared" si="16"/>
        <v>646678.87999999989</v>
      </c>
      <c r="K173" s="43">
        <f t="shared" si="16"/>
        <v>757992.45999999985</v>
      </c>
      <c r="L173" s="43">
        <f t="shared" si="16"/>
        <v>869306.0399999998</v>
      </c>
      <c r="M173" s="43">
        <f t="shared" si="16"/>
        <v>980619.61999999976</v>
      </c>
      <c r="N173" s="43">
        <f t="shared" si="16"/>
        <v>1097233.8399999999</v>
      </c>
      <c r="O173" s="43">
        <f t="shared" si="16"/>
        <v>1213848.0599999998</v>
      </c>
      <c r="P173" s="43">
        <f t="shared" si="16"/>
        <v>1330462.2799999998</v>
      </c>
      <c r="Q173" s="43">
        <f t="shared" si="16"/>
        <v>1447076.4999999998</v>
      </c>
      <c r="R173" s="43">
        <f t="shared" si="16"/>
        <v>1563690.7199999997</v>
      </c>
      <c r="S173" s="43">
        <f t="shared" si="16"/>
        <v>1685605.5899999999</v>
      </c>
      <c r="T173" s="43">
        <f t="shared" si="16"/>
        <v>1807520.46</v>
      </c>
      <c r="U173" s="43">
        <f t="shared" si="16"/>
        <v>1929435.33</v>
      </c>
      <c r="V173" s="43">
        <f t="shared" si="16"/>
        <v>2051350.2000000002</v>
      </c>
      <c r="W173" s="43">
        <f t="shared" si="16"/>
        <v>2173265.0700000003</v>
      </c>
      <c r="X173" s="43">
        <f t="shared" si="16"/>
        <v>2300480.5900000003</v>
      </c>
      <c r="Y173" s="43">
        <f t="shared" si="16"/>
        <v>2427696.1100000003</v>
      </c>
      <c r="Z173" s="43">
        <f t="shared" si="16"/>
        <v>2554911.6300000004</v>
      </c>
      <c r="AA173" s="61">
        <f t="shared" si="16"/>
        <v>2682127.1500000004</v>
      </c>
    </row>
    <row r="174" spans="1:29" x14ac:dyDescent="0.2">
      <c r="B174" s="101" t="s">
        <v>124</v>
      </c>
      <c r="C174" s="73"/>
      <c r="D174" s="76">
        <f>D171-D173</f>
        <v>4240517.25</v>
      </c>
      <c r="E174" s="76">
        <f t="shared" ref="E174:AA174" si="17">E171-E173</f>
        <v>4134504.32</v>
      </c>
      <c r="F174" s="76">
        <f t="shared" si="17"/>
        <v>4028491.39</v>
      </c>
      <c r="G174" s="76">
        <f t="shared" si="17"/>
        <v>3922478.46</v>
      </c>
      <c r="H174" s="76">
        <f t="shared" si="17"/>
        <v>3816465.5300000003</v>
      </c>
      <c r="I174" s="76">
        <f t="shared" si="17"/>
        <v>3917177.8100000005</v>
      </c>
      <c r="J174" s="76">
        <f t="shared" si="17"/>
        <v>3805864.2300000004</v>
      </c>
      <c r="K174" s="76">
        <f t="shared" si="17"/>
        <v>3694550.6500000004</v>
      </c>
      <c r="L174" s="76">
        <f t="shared" si="17"/>
        <v>3583237.0700000003</v>
      </c>
      <c r="M174" s="76">
        <f t="shared" si="17"/>
        <v>3471923.4900000007</v>
      </c>
      <c r="N174" s="76">
        <f t="shared" si="17"/>
        <v>3567335.1300000008</v>
      </c>
      <c r="O174" s="76">
        <f t="shared" si="17"/>
        <v>3450720.9100000011</v>
      </c>
      <c r="P174" s="76">
        <f t="shared" si="17"/>
        <v>3334106.6900000009</v>
      </c>
      <c r="Q174" s="76">
        <f t="shared" si="17"/>
        <v>3217492.4700000007</v>
      </c>
      <c r="R174" s="76">
        <f t="shared" si="17"/>
        <v>3100878.2500000009</v>
      </c>
      <c r="S174" s="76">
        <f t="shared" si="17"/>
        <v>3190989.2400000012</v>
      </c>
      <c r="T174" s="76">
        <f t="shared" si="17"/>
        <v>3069074.370000001</v>
      </c>
      <c r="U174" s="76">
        <f t="shared" si="17"/>
        <v>2947159.5000000009</v>
      </c>
      <c r="V174" s="76">
        <f t="shared" si="17"/>
        <v>2825244.6300000008</v>
      </c>
      <c r="W174" s="76">
        <f t="shared" si="17"/>
        <v>2703329.7600000007</v>
      </c>
      <c r="X174" s="76">
        <f t="shared" si="17"/>
        <v>2788140.100000001</v>
      </c>
      <c r="Y174" s="76">
        <f t="shared" si="17"/>
        <v>2660924.580000001</v>
      </c>
      <c r="Z174" s="76">
        <f t="shared" si="17"/>
        <v>2533709.060000001</v>
      </c>
      <c r="AA174" s="62">
        <f t="shared" si="17"/>
        <v>2406493.540000001</v>
      </c>
    </row>
    <row r="175" spans="1:29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8" spans="1:27" x14ac:dyDescent="0.2">
      <c r="A178" s="7" t="s">
        <v>222</v>
      </c>
      <c r="B178" s="7" t="s">
        <v>126</v>
      </c>
    </row>
    <row r="179" spans="1:27" x14ac:dyDescent="0.2">
      <c r="B179" s="72" t="s">
        <v>15</v>
      </c>
      <c r="C179" s="11">
        <f t="shared" ref="C179:AA179" si="18">C$160</f>
        <v>2016</v>
      </c>
      <c r="D179" s="11">
        <f t="shared" si="18"/>
        <v>2017</v>
      </c>
      <c r="E179" s="11">
        <f t="shared" si="18"/>
        <v>2018</v>
      </c>
      <c r="F179" s="11">
        <f t="shared" si="18"/>
        <v>2019</v>
      </c>
      <c r="G179" s="11">
        <f t="shared" si="18"/>
        <v>2020</v>
      </c>
      <c r="H179" s="11">
        <f t="shared" si="18"/>
        <v>2021</v>
      </c>
      <c r="I179" s="11">
        <f t="shared" si="18"/>
        <v>2022</v>
      </c>
      <c r="J179" s="11">
        <f t="shared" si="18"/>
        <v>2023</v>
      </c>
      <c r="K179" s="11">
        <f t="shared" si="18"/>
        <v>2024</v>
      </c>
      <c r="L179" s="11">
        <f t="shared" si="18"/>
        <v>2025</v>
      </c>
      <c r="M179" s="11">
        <f t="shared" si="18"/>
        <v>2026</v>
      </c>
      <c r="N179" s="11">
        <f t="shared" si="18"/>
        <v>2027</v>
      </c>
      <c r="O179" s="11">
        <f t="shared" si="18"/>
        <v>2028</v>
      </c>
      <c r="P179" s="11">
        <f t="shared" si="18"/>
        <v>2029</v>
      </c>
      <c r="Q179" s="11">
        <f t="shared" si="18"/>
        <v>2030</v>
      </c>
      <c r="R179" s="11">
        <f t="shared" si="18"/>
        <v>2031</v>
      </c>
      <c r="S179" s="11">
        <f t="shared" si="18"/>
        <v>2032</v>
      </c>
      <c r="T179" s="11">
        <f t="shared" si="18"/>
        <v>2033</v>
      </c>
      <c r="U179" s="11">
        <f t="shared" si="18"/>
        <v>2034</v>
      </c>
      <c r="V179" s="11">
        <f t="shared" si="18"/>
        <v>2035</v>
      </c>
      <c r="W179" s="11">
        <f t="shared" si="18"/>
        <v>2036</v>
      </c>
      <c r="X179" s="11">
        <f t="shared" si="18"/>
        <v>2037</v>
      </c>
      <c r="Y179" s="11">
        <f t="shared" si="18"/>
        <v>2038</v>
      </c>
      <c r="Z179" s="11">
        <f t="shared" si="18"/>
        <v>2039</v>
      </c>
      <c r="AA179" s="12">
        <f t="shared" si="18"/>
        <v>2040</v>
      </c>
    </row>
    <row r="180" spans="1:27" x14ac:dyDescent="0.2">
      <c r="B180" s="42" t="s">
        <v>127</v>
      </c>
      <c r="C180" s="43">
        <f>C55</f>
        <v>506213.25</v>
      </c>
      <c r="D180" s="43">
        <f>D55</f>
        <v>1818528.25</v>
      </c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8"/>
    </row>
    <row r="181" spans="1:27" x14ac:dyDescent="0.2">
      <c r="B181" s="42" t="s">
        <v>128</v>
      </c>
      <c r="C181" s="43">
        <f>C180</f>
        <v>506213.25</v>
      </c>
      <c r="D181" s="43">
        <f>C181+D180</f>
        <v>2324741.5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8"/>
    </row>
    <row r="182" spans="1:27" x14ac:dyDescent="0.2">
      <c r="B182" s="51" t="s">
        <v>129</v>
      </c>
      <c r="C182" s="73"/>
      <c r="D182" s="73"/>
      <c r="E182" s="76">
        <f>ROUND(amortyzacja*D181,2)</f>
        <v>58118.54</v>
      </c>
      <c r="F182" s="76">
        <f>E182</f>
        <v>58118.54</v>
      </c>
      <c r="G182" s="76">
        <f t="shared" ref="G182:AA182" si="19">F182</f>
        <v>58118.54</v>
      </c>
      <c r="H182" s="76">
        <f t="shared" si="19"/>
        <v>58118.54</v>
      </c>
      <c r="I182" s="76">
        <f t="shared" si="19"/>
        <v>58118.54</v>
      </c>
      <c r="J182" s="76">
        <f t="shared" si="19"/>
        <v>58118.54</v>
      </c>
      <c r="K182" s="76">
        <f t="shared" si="19"/>
        <v>58118.54</v>
      </c>
      <c r="L182" s="76">
        <f t="shared" si="19"/>
        <v>58118.54</v>
      </c>
      <c r="M182" s="76">
        <f t="shared" si="19"/>
        <v>58118.54</v>
      </c>
      <c r="N182" s="76">
        <f t="shared" si="19"/>
        <v>58118.54</v>
      </c>
      <c r="O182" s="76">
        <f t="shared" si="19"/>
        <v>58118.54</v>
      </c>
      <c r="P182" s="76">
        <f t="shared" si="19"/>
        <v>58118.54</v>
      </c>
      <c r="Q182" s="76">
        <f t="shared" si="19"/>
        <v>58118.54</v>
      </c>
      <c r="R182" s="76">
        <f t="shared" si="19"/>
        <v>58118.54</v>
      </c>
      <c r="S182" s="76">
        <f t="shared" si="19"/>
        <v>58118.54</v>
      </c>
      <c r="T182" s="76">
        <f t="shared" si="19"/>
        <v>58118.54</v>
      </c>
      <c r="U182" s="76">
        <f t="shared" si="19"/>
        <v>58118.54</v>
      </c>
      <c r="V182" s="76">
        <f t="shared" si="19"/>
        <v>58118.54</v>
      </c>
      <c r="W182" s="76">
        <f t="shared" si="19"/>
        <v>58118.54</v>
      </c>
      <c r="X182" s="76">
        <f t="shared" si="19"/>
        <v>58118.54</v>
      </c>
      <c r="Y182" s="76">
        <f t="shared" si="19"/>
        <v>58118.54</v>
      </c>
      <c r="Z182" s="76">
        <f t="shared" si="19"/>
        <v>58118.54</v>
      </c>
      <c r="AA182" s="62">
        <f t="shared" si="19"/>
        <v>58118.54</v>
      </c>
    </row>
    <row r="186" spans="1:27" x14ac:dyDescent="0.2">
      <c r="A186" s="7" t="s">
        <v>223</v>
      </c>
      <c r="B186" s="7" t="s">
        <v>137</v>
      </c>
    </row>
    <row r="187" spans="1:27" x14ac:dyDescent="0.2">
      <c r="B187" s="72" t="s">
        <v>15</v>
      </c>
      <c r="C187" s="11">
        <f t="shared" ref="C187:AA187" si="20">C$160</f>
        <v>2016</v>
      </c>
      <c r="D187" s="11">
        <f t="shared" si="20"/>
        <v>2017</v>
      </c>
      <c r="E187" s="11">
        <f t="shared" si="20"/>
        <v>2018</v>
      </c>
      <c r="F187" s="11">
        <f t="shared" si="20"/>
        <v>2019</v>
      </c>
      <c r="G187" s="11">
        <f t="shared" si="20"/>
        <v>2020</v>
      </c>
      <c r="H187" s="11">
        <f t="shared" si="20"/>
        <v>2021</v>
      </c>
      <c r="I187" s="11">
        <f t="shared" si="20"/>
        <v>2022</v>
      </c>
      <c r="J187" s="11">
        <f t="shared" si="20"/>
        <v>2023</v>
      </c>
      <c r="K187" s="11">
        <f t="shared" si="20"/>
        <v>2024</v>
      </c>
      <c r="L187" s="11">
        <f t="shared" si="20"/>
        <v>2025</v>
      </c>
      <c r="M187" s="11">
        <f t="shared" si="20"/>
        <v>2026</v>
      </c>
      <c r="N187" s="11">
        <f t="shared" si="20"/>
        <v>2027</v>
      </c>
      <c r="O187" s="11">
        <f t="shared" si="20"/>
        <v>2028</v>
      </c>
      <c r="P187" s="11">
        <f t="shared" si="20"/>
        <v>2029</v>
      </c>
      <c r="Q187" s="11">
        <f t="shared" si="20"/>
        <v>2030</v>
      </c>
      <c r="R187" s="11">
        <f t="shared" si="20"/>
        <v>2031</v>
      </c>
      <c r="S187" s="11">
        <f t="shared" si="20"/>
        <v>2032</v>
      </c>
      <c r="T187" s="11">
        <f t="shared" si="20"/>
        <v>2033</v>
      </c>
      <c r="U187" s="11">
        <f t="shared" si="20"/>
        <v>2034</v>
      </c>
      <c r="V187" s="11">
        <f t="shared" si="20"/>
        <v>2035</v>
      </c>
      <c r="W187" s="11">
        <f t="shared" si="20"/>
        <v>2036</v>
      </c>
      <c r="X187" s="11">
        <f t="shared" si="20"/>
        <v>2037</v>
      </c>
      <c r="Y187" s="11">
        <f t="shared" si="20"/>
        <v>2038</v>
      </c>
      <c r="Z187" s="11">
        <f t="shared" si="20"/>
        <v>2039</v>
      </c>
      <c r="AA187" s="12">
        <f t="shared" si="20"/>
        <v>2040</v>
      </c>
    </row>
    <row r="188" spans="1:27" x14ac:dyDescent="0.2">
      <c r="B188" s="51" t="s">
        <v>136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62">
        <v>0</v>
      </c>
    </row>
    <row r="192" spans="1:27" x14ac:dyDescent="0.2">
      <c r="A192" s="7" t="s">
        <v>224</v>
      </c>
      <c r="B192" s="7" t="s">
        <v>140</v>
      </c>
    </row>
    <row r="193" spans="1:27" x14ac:dyDescent="0.2">
      <c r="B193" s="72" t="s">
        <v>15</v>
      </c>
      <c r="C193" s="11">
        <f t="shared" ref="C193:AA193" si="21">C$160</f>
        <v>2016</v>
      </c>
      <c r="D193" s="11">
        <f t="shared" si="21"/>
        <v>2017</v>
      </c>
      <c r="E193" s="11">
        <f t="shared" si="21"/>
        <v>2018</v>
      </c>
      <c r="F193" s="11">
        <f t="shared" si="21"/>
        <v>2019</v>
      </c>
      <c r="G193" s="11">
        <f t="shared" si="21"/>
        <v>2020</v>
      </c>
      <c r="H193" s="11">
        <f t="shared" si="21"/>
        <v>2021</v>
      </c>
      <c r="I193" s="11">
        <f t="shared" si="21"/>
        <v>2022</v>
      </c>
      <c r="J193" s="11">
        <f t="shared" si="21"/>
        <v>2023</v>
      </c>
      <c r="K193" s="11">
        <f t="shared" si="21"/>
        <v>2024</v>
      </c>
      <c r="L193" s="11">
        <f t="shared" si="21"/>
        <v>2025</v>
      </c>
      <c r="M193" s="11">
        <f t="shared" si="21"/>
        <v>2026</v>
      </c>
      <c r="N193" s="11">
        <f t="shared" si="21"/>
        <v>2027</v>
      </c>
      <c r="O193" s="11">
        <f t="shared" si="21"/>
        <v>2028</v>
      </c>
      <c r="P193" s="11">
        <f t="shared" si="21"/>
        <v>2029</v>
      </c>
      <c r="Q193" s="11">
        <f t="shared" si="21"/>
        <v>2030</v>
      </c>
      <c r="R193" s="11">
        <f t="shared" si="21"/>
        <v>2031</v>
      </c>
      <c r="S193" s="11">
        <f t="shared" si="21"/>
        <v>2032</v>
      </c>
      <c r="T193" s="11">
        <f t="shared" si="21"/>
        <v>2033</v>
      </c>
      <c r="U193" s="11">
        <f t="shared" si="21"/>
        <v>2034</v>
      </c>
      <c r="V193" s="11">
        <f t="shared" si="21"/>
        <v>2035</v>
      </c>
      <c r="W193" s="11">
        <f t="shared" si="21"/>
        <v>2036</v>
      </c>
      <c r="X193" s="11">
        <f t="shared" si="21"/>
        <v>2037</v>
      </c>
      <c r="Y193" s="11">
        <f t="shared" si="21"/>
        <v>2038</v>
      </c>
      <c r="Z193" s="11">
        <f t="shared" si="21"/>
        <v>2039</v>
      </c>
      <c r="AA193" s="12">
        <f t="shared" si="21"/>
        <v>2040</v>
      </c>
    </row>
    <row r="194" spans="1:27" x14ac:dyDescent="0.2">
      <c r="B194" s="42" t="s">
        <v>120</v>
      </c>
      <c r="C194" s="43">
        <f>D172</f>
        <v>0</v>
      </c>
      <c r="D194" s="43">
        <f t="shared" ref="D194:AA194" si="22">E172</f>
        <v>106012.93</v>
      </c>
      <c r="E194" s="43">
        <f t="shared" si="22"/>
        <v>106012.93</v>
      </c>
      <c r="F194" s="43">
        <f t="shared" si="22"/>
        <v>106012.93</v>
      </c>
      <c r="G194" s="43">
        <f t="shared" si="22"/>
        <v>106012.93</v>
      </c>
      <c r="H194" s="43">
        <f t="shared" si="22"/>
        <v>111313.58</v>
      </c>
      <c r="I194" s="43">
        <f t="shared" si="22"/>
        <v>111313.58</v>
      </c>
      <c r="J194" s="43">
        <f t="shared" si="22"/>
        <v>111313.58</v>
      </c>
      <c r="K194" s="43">
        <f t="shared" si="22"/>
        <v>111313.58</v>
      </c>
      <c r="L194" s="43">
        <f t="shared" si="22"/>
        <v>111313.58</v>
      </c>
      <c r="M194" s="43">
        <f t="shared" si="22"/>
        <v>116614.22</v>
      </c>
      <c r="N194" s="43">
        <f t="shared" si="22"/>
        <v>116614.22</v>
      </c>
      <c r="O194" s="43">
        <f t="shared" si="22"/>
        <v>116614.22</v>
      </c>
      <c r="P194" s="43">
        <f t="shared" si="22"/>
        <v>116614.22</v>
      </c>
      <c r="Q194" s="43">
        <f t="shared" si="22"/>
        <v>116614.22</v>
      </c>
      <c r="R194" s="43">
        <f t="shared" si="22"/>
        <v>121914.87</v>
      </c>
      <c r="S194" s="43">
        <f t="shared" si="22"/>
        <v>121914.87</v>
      </c>
      <c r="T194" s="43">
        <f t="shared" si="22"/>
        <v>121914.87</v>
      </c>
      <c r="U194" s="43">
        <f t="shared" si="22"/>
        <v>121914.87</v>
      </c>
      <c r="V194" s="43">
        <f t="shared" si="22"/>
        <v>121914.87</v>
      </c>
      <c r="W194" s="43">
        <f t="shared" si="22"/>
        <v>127215.52</v>
      </c>
      <c r="X194" s="43">
        <f t="shared" si="22"/>
        <v>127215.52</v>
      </c>
      <c r="Y194" s="43">
        <f t="shared" si="22"/>
        <v>127215.52</v>
      </c>
      <c r="Z194" s="43">
        <f t="shared" si="22"/>
        <v>127215.52</v>
      </c>
      <c r="AA194" s="61">
        <f t="shared" si="22"/>
        <v>0</v>
      </c>
    </row>
    <row r="195" spans="1:27" x14ac:dyDescent="0.2">
      <c r="B195" s="42" t="s">
        <v>138</v>
      </c>
      <c r="C195" s="47"/>
      <c r="D195" s="47"/>
      <c r="E195" s="43">
        <f>-F124</f>
        <v>-237426.59999999998</v>
      </c>
      <c r="F195" s="43">
        <f>E195</f>
        <v>-237426.59999999998</v>
      </c>
      <c r="G195" s="43">
        <f>F195</f>
        <v>-237426.59999999998</v>
      </c>
      <c r="H195" s="43">
        <f t="shared" ref="H195:AA195" si="23">G195</f>
        <v>-237426.59999999998</v>
      </c>
      <c r="I195" s="43">
        <f t="shared" si="23"/>
        <v>-237426.59999999998</v>
      </c>
      <c r="J195" s="43">
        <f t="shared" si="23"/>
        <v>-237426.59999999998</v>
      </c>
      <c r="K195" s="43">
        <f t="shared" si="23"/>
        <v>-237426.59999999998</v>
      </c>
      <c r="L195" s="43">
        <f t="shared" si="23"/>
        <v>-237426.59999999998</v>
      </c>
      <c r="M195" s="43">
        <f t="shared" si="23"/>
        <v>-237426.59999999998</v>
      </c>
      <c r="N195" s="43">
        <f t="shared" si="23"/>
        <v>-237426.59999999998</v>
      </c>
      <c r="O195" s="43">
        <f t="shared" si="23"/>
        <v>-237426.59999999998</v>
      </c>
      <c r="P195" s="43">
        <f t="shared" si="23"/>
        <v>-237426.59999999998</v>
      </c>
      <c r="Q195" s="43">
        <f t="shared" si="23"/>
        <v>-237426.59999999998</v>
      </c>
      <c r="R195" s="43">
        <f t="shared" si="23"/>
        <v>-237426.59999999998</v>
      </c>
      <c r="S195" s="43">
        <f t="shared" si="23"/>
        <v>-237426.59999999998</v>
      </c>
      <c r="T195" s="43">
        <f t="shared" si="23"/>
        <v>-237426.59999999998</v>
      </c>
      <c r="U195" s="43">
        <f t="shared" si="23"/>
        <v>-237426.59999999998</v>
      </c>
      <c r="V195" s="43">
        <f t="shared" si="23"/>
        <v>-237426.59999999998</v>
      </c>
      <c r="W195" s="43">
        <f t="shared" si="23"/>
        <v>-237426.59999999998</v>
      </c>
      <c r="X195" s="43">
        <f t="shared" si="23"/>
        <v>-237426.59999999998</v>
      </c>
      <c r="Y195" s="43">
        <f t="shared" si="23"/>
        <v>-237426.59999999998</v>
      </c>
      <c r="Z195" s="43">
        <f t="shared" si="23"/>
        <v>-237426.59999999998</v>
      </c>
      <c r="AA195" s="61">
        <f t="shared" si="23"/>
        <v>-237426.59999999998</v>
      </c>
    </row>
    <row r="196" spans="1:27" x14ac:dyDescent="0.2">
      <c r="B196" s="42" t="s">
        <v>139</v>
      </c>
      <c r="C196" s="47"/>
      <c r="D196" s="47"/>
      <c r="E196" s="47"/>
      <c r="F196" s="47"/>
      <c r="G196" s="47"/>
      <c r="H196" s="47"/>
      <c r="I196" s="47"/>
      <c r="J196" s="43">
        <f>C131</f>
        <v>35207.42</v>
      </c>
      <c r="K196" s="43">
        <f>J196</f>
        <v>35207.42</v>
      </c>
      <c r="L196" s="43">
        <f t="shared" ref="L196:AA196" si="24">K196</f>
        <v>35207.42</v>
      </c>
      <c r="M196" s="43">
        <f t="shared" si="24"/>
        <v>35207.42</v>
      </c>
      <c r="N196" s="43">
        <f t="shared" si="24"/>
        <v>35207.42</v>
      </c>
      <c r="O196" s="43">
        <f t="shared" si="24"/>
        <v>35207.42</v>
      </c>
      <c r="P196" s="43">
        <f t="shared" si="24"/>
        <v>35207.42</v>
      </c>
      <c r="Q196" s="43">
        <f t="shared" si="24"/>
        <v>35207.42</v>
      </c>
      <c r="R196" s="43">
        <f t="shared" si="24"/>
        <v>35207.42</v>
      </c>
      <c r="S196" s="43">
        <f t="shared" si="24"/>
        <v>35207.42</v>
      </c>
      <c r="T196" s="43">
        <f t="shared" si="24"/>
        <v>35207.42</v>
      </c>
      <c r="U196" s="43">
        <f t="shared" si="24"/>
        <v>35207.42</v>
      </c>
      <c r="V196" s="43">
        <f t="shared" si="24"/>
        <v>35207.42</v>
      </c>
      <c r="W196" s="43">
        <f t="shared" si="24"/>
        <v>35207.42</v>
      </c>
      <c r="X196" s="43">
        <f t="shared" si="24"/>
        <v>35207.42</v>
      </c>
      <c r="Y196" s="43">
        <f t="shared" si="24"/>
        <v>35207.42</v>
      </c>
      <c r="Z196" s="43">
        <f t="shared" si="24"/>
        <v>35207.42</v>
      </c>
      <c r="AA196" s="61">
        <f t="shared" si="24"/>
        <v>35207.42</v>
      </c>
    </row>
    <row r="197" spans="1:27" x14ac:dyDescent="0.2">
      <c r="B197" s="105" t="s">
        <v>141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62"/>
    </row>
    <row r="201" spans="1:27" x14ac:dyDescent="0.2">
      <c r="A201" s="7" t="s">
        <v>225</v>
      </c>
      <c r="B201" s="7" t="s">
        <v>135</v>
      </c>
    </row>
    <row r="202" spans="1:27" x14ac:dyDescent="0.2">
      <c r="B202" s="10" t="s">
        <v>64</v>
      </c>
      <c r="C202" s="11">
        <f t="shared" ref="C202:AA202" si="25">C$160</f>
        <v>2016</v>
      </c>
      <c r="D202" s="11">
        <f t="shared" si="25"/>
        <v>2017</v>
      </c>
      <c r="E202" s="11">
        <f t="shared" si="25"/>
        <v>2018</v>
      </c>
      <c r="F202" s="11">
        <f t="shared" si="25"/>
        <v>2019</v>
      </c>
      <c r="G202" s="11">
        <f t="shared" si="25"/>
        <v>2020</v>
      </c>
      <c r="H202" s="11">
        <f t="shared" si="25"/>
        <v>2021</v>
      </c>
      <c r="I202" s="11">
        <f t="shared" si="25"/>
        <v>2022</v>
      </c>
      <c r="J202" s="11">
        <f t="shared" si="25"/>
        <v>2023</v>
      </c>
      <c r="K202" s="11">
        <f t="shared" si="25"/>
        <v>2024</v>
      </c>
      <c r="L202" s="11">
        <f t="shared" si="25"/>
        <v>2025</v>
      </c>
      <c r="M202" s="11">
        <f t="shared" si="25"/>
        <v>2026</v>
      </c>
      <c r="N202" s="11">
        <f t="shared" si="25"/>
        <v>2027</v>
      </c>
      <c r="O202" s="11">
        <f t="shared" si="25"/>
        <v>2028</v>
      </c>
      <c r="P202" s="11">
        <f t="shared" si="25"/>
        <v>2029</v>
      </c>
      <c r="Q202" s="11">
        <f t="shared" si="25"/>
        <v>2030</v>
      </c>
      <c r="R202" s="11">
        <f t="shared" si="25"/>
        <v>2031</v>
      </c>
      <c r="S202" s="11">
        <f t="shared" si="25"/>
        <v>2032</v>
      </c>
      <c r="T202" s="11">
        <f t="shared" si="25"/>
        <v>2033</v>
      </c>
      <c r="U202" s="11">
        <f t="shared" si="25"/>
        <v>2034</v>
      </c>
      <c r="V202" s="11">
        <f t="shared" si="25"/>
        <v>2035</v>
      </c>
      <c r="W202" s="11">
        <f t="shared" si="25"/>
        <v>2036</v>
      </c>
      <c r="X202" s="11">
        <f t="shared" si="25"/>
        <v>2037</v>
      </c>
      <c r="Y202" s="11">
        <f t="shared" si="25"/>
        <v>2038</v>
      </c>
      <c r="Z202" s="11">
        <f t="shared" si="25"/>
        <v>2039</v>
      </c>
      <c r="AA202" s="12">
        <f t="shared" si="25"/>
        <v>2040</v>
      </c>
    </row>
    <row r="203" spans="1:27" x14ac:dyDescent="0.2">
      <c r="B203" s="63" t="s">
        <v>37</v>
      </c>
      <c r="C203" s="46">
        <f>D81</f>
        <v>18630971.550000001</v>
      </c>
      <c r="D203" s="46">
        <f>C203</f>
        <v>18630971.550000001</v>
      </c>
      <c r="E203" s="46">
        <f t="shared" ref="E203:AA203" si="26">D203</f>
        <v>18630971.550000001</v>
      </c>
      <c r="F203" s="46">
        <f t="shared" si="26"/>
        <v>18630971.550000001</v>
      </c>
      <c r="G203" s="46">
        <f t="shared" si="26"/>
        <v>18630971.550000001</v>
      </c>
      <c r="H203" s="46">
        <f t="shared" si="26"/>
        <v>18630971.550000001</v>
      </c>
      <c r="I203" s="46">
        <f t="shared" si="26"/>
        <v>18630971.550000001</v>
      </c>
      <c r="J203" s="46">
        <f t="shared" si="26"/>
        <v>18630971.550000001</v>
      </c>
      <c r="K203" s="46">
        <f t="shared" si="26"/>
        <v>18630971.550000001</v>
      </c>
      <c r="L203" s="46">
        <f t="shared" si="26"/>
        <v>18630971.550000001</v>
      </c>
      <c r="M203" s="46">
        <f t="shared" si="26"/>
        <v>18630971.550000001</v>
      </c>
      <c r="N203" s="46">
        <f t="shared" si="26"/>
        <v>18630971.550000001</v>
      </c>
      <c r="O203" s="46">
        <f t="shared" si="26"/>
        <v>18630971.550000001</v>
      </c>
      <c r="P203" s="46">
        <f t="shared" si="26"/>
        <v>18630971.550000001</v>
      </c>
      <c r="Q203" s="46">
        <f t="shared" si="26"/>
        <v>18630971.550000001</v>
      </c>
      <c r="R203" s="46">
        <f t="shared" si="26"/>
        <v>18630971.550000001</v>
      </c>
      <c r="S203" s="46">
        <f t="shared" si="26"/>
        <v>18630971.550000001</v>
      </c>
      <c r="T203" s="46">
        <f t="shared" si="26"/>
        <v>18630971.550000001</v>
      </c>
      <c r="U203" s="46">
        <f t="shared" si="26"/>
        <v>18630971.550000001</v>
      </c>
      <c r="V203" s="46">
        <f t="shared" si="26"/>
        <v>18630971.550000001</v>
      </c>
      <c r="W203" s="46">
        <f t="shared" si="26"/>
        <v>18630971.550000001</v>
      </c>
      <c r="X203" s="46">
        <f t="shared" si="26"/>
        <v>18630971.550000001</v>
      </c>
      <c r="Y203" s="46">
        <f t="shared" si="26"/>
        <v>18630971.550000001</v>
      </c>
      <c r="Z203" s="46">
        <f t="shared" si="26"/>
        <v>18630971.550000001</v>
      </c>
      <c r="AA203" s="44">
        <f t="shared" si="26"/>
        <v>18630971.550000001</v>
      </c>
    </row>
    <row r="204" spans="1:27" x14ac:dyDescent="0.2">
      <c r="B204" s="63" t="s">
        <v>38</v>
      </c>
      <c r="C204" s="8">
        <f>SUM(C205:C212)</f>
        <v>18596266.84</v>
      </c>
      <c r="D204" s="8">
        <f>C204</f>
        <v>18596266.84</v>
      </c>
      <c r="E204" s="8">
        <f t="shared" ref="E204:AA215" si="27">D204</f>
        <v>18596266.84</v>
      </c>
      <c r="F204" s="8">
        <f t="shared" si="27"/>
        <v>18596266.84</v>
      </c>
      <c r="G204" s="8">
        <f t="shared" si="27"/>
        <v>18596266.84</v>
      </c>
      <c r="H204" s="8">
        <f t="shared" si="27"/>
        <v>18596266.84</v>
      </c>
      <c r="I204" s="8">
        <f t="shared" si="27"/>
        <v>18596266.84</v>
      </c>
      <c r="J204" s="8">
        <f t="shared" si="27"/>
        <v>18596266.84</v>
      </c>
      <c r="K204" s="8">
        <f t="shared" si="27"/>
        <v>18596266.84</v>
      </c>
      <c r="L204" s="8">
        <f t="shared" si="27"/>
        <v>18596266.84</v>
      </c>
      <c r="M204" s="8">
        <f t="shared" si="27"/>
        <v>18596266.84</v>
      </c>
      <c r="N204" s="8">
        <f t="shared" si="27"/>
        <v>18596266.84</v>
      </c>
      <c r="O204" s="8">
        <f t="shared" si="27"/>
        <v>18596266.84</v>
      </c>
      <c r="P204" s="8">
        <f t="shared" si="27"/>
        <v>18596266.84</v>
      </c>
      <c r="Q204" s="8">
        <f t="shared" si="27"/>
        <v>18596266.84</v>
      </c>
      <c r="R204" s="8">
        <f t="shared" si="27"/>
        <v>18596266.84</v>
      </c>
      <c r="S204" s="8">
        <f t="shared" si="27"/>
        <v>18596266.84</v>
      </c>
      <c r="T204" s="8">
        <f t="shared" si="27"/>
        <v>18596266.84</v>
      </c>
      <c r="U204" s="8">
        <f t="shared" si="27"/>
        <v>18596266.84</v>
      </c>
      <c r="V204" s="8">
        <f t="shared" si="27"/>
        <v>18596266.84</v>
      </c>
      <c r="W204" s="8">
        <f t="shared" si="27"/>
        <v>18596266.84</v>
      </c>
      <c r="X204" s="8">
        <f t="shared" si="27"/>
        <v>18596266.84</v>
      </c>
      <c r="Y204" s="8">
        <f t="shared" si="27"/>
        <v>18596266.84</v>
      </c>
      <c r="Z204" s="8">
        <f t="shared" si="27"/>
        <v>18596266.84</v>
      </c>
      <c r="AA204" s="65">
        <f t="shared" si="27"/>
        <v>18596266.84</v>
      </c>
    </row>
    <row r="205" spans="1:27" x14ac:dyDescent="0.2">
      <c r="B205" s="66" t="s">
        <v>39</v>
      </c>
      <c r="C205" s="9">
        <f t="shared" ref="C205:C212" si="28">D83</f>
        <v>2065713.28</v>
      </c>
      <c r="D205" s="9">
        <f t="shared" ref="D205:S227" si="29">C205</f>
        <v>2065713.28</v>
      </c>
      <c r="E205" s="9">
        <f t="shared" si="29"/>
        <v>2065713.28</v>
      </c>
      <c r="F205" s="9">
        <f t="shared" si="29"/>
        <v>2065713.28</v>
      </c>
      <c r="G205" s="9">
        <f t="shared" si="29"/>
        <v>2065713.28</v>
      </c>
      <c r="H205" s="9">
        <f t="shared" si="29"/>
        <v>2065713.28</v>
      </c>
      <c r="I205" s="9">
        <f t="shared" si="29"/>
        <v>2065713.28</v>
      </c>
      <c r="J205" s="9">
        <f t="shared" si="29"/>
        <v>2065713.28</v>
      </c>
      <c r="K205" s="9">
        <f t="shared" si="29"/>
        <v>2065713.28</v>
      </c>
      <c r="L205" s="9">
        <f t="shared" si="29"/>
        <v>2065713.28</v>
      </c>
      <c r="M205" s="9">
        <f t="shared" si="29"/>
        <v>2065713.28</v>
      </c>
      <c r="N205" s="9">
        <f t="shared" si="29"/>
        <v>2065713.28</v>
      </c>
      <c r="O205" s="9">
        <f t="shared" si="29"/>
        <v>2065713.28</v>
      </c>
      <c r="P205" s="9">
        <f t="shared" si="29"/>
        <v>2065713.28</v>
      </c>
      <c r="Q205" s="9">
        <f t="shared" si="29"/>
        <v>2065713.28</v>
      </c>
      <c r="R205" s="9">
        <f t="shared" si="29"/>
        <v>2065713.28</v>
      </c>
      <c r="S205" s="9">
        <f t="shared" si="29"/>
        <v>2065713.28</v>
      </c>
      <c r="T205" s="9">
        <f t="shared" si="27"/>
        <v>2065713.28</v>
      </c>
      <c r="U205" s="9">
        <f t="shared" si="27"/>
        <v>2065713.28</v>
      </c>
      <c r="V205" s="9">
        <f t="shared" si="27"/>
        <v>2065713.28</v>
      </c>
      <c r="W205" s="9">
        <f t="shared" si="27"/>
        <v>2065713.28</v>
      </c>
      <c r="X205" s="9">
        <f t="shared" si="27"/>
        <v>2065713.28</v>
      </c>
      <c r="Y205" s="9">
        <f t="shared" si="27"/>
        <v>2065713.28</v>
      </c>
      <c r="Z205" s="9">
        <f t="shared" si="27"/>
        <v>2065713.28</v>
      </c>
      <c r="AA205" s="67">
        <f t="shared" si="27"/>
        <v>2065713.28</v>
      </c>
    </row>
    <row r="206" spans="1:27" x14ac:dyDescent="0.2">
      <c r="B206" s="66" t="s">
        <v>40</v>
      </c>
      <c r="C206" s="9">
        <f t="shared" si="28"/>
        <v>1554787.94</v>
      </c>
      <c r="D206" s="9">
        <f t="shared" si="29"/>
        <v>1554787.94</v>
      </c>
      <c r="E206" s="9">
        <f t="shared" si="27"/>
        <v>1554787.94</v>
      </c>
      <c r="F206" s="9">
        <f t="shared" si="27"/>
        <v>1554787.94</v>
      </c>
      <c r="G206" s="9">
        <f t="shared" si="27"/>
        <v>1554787.94</v>
      </c>
      <c r="H206" s="9">
        <f t="shared" si="27"/>
        <v>1554787.94</v>
      </c>
      <c r="I206" s="9">
        <f t="shared" si="27"/>
        <v>1554787.94</v>
      </c>
      <c r="J206" s="9">
        <f t="shared" si="27"/>
        <v>1554787.94</v>
      </c>
      <c r="K206" s="9">
        <f t="shared" si="27"/>
        <v>1554787.94</v>
      </c>
      <c r="L206" s="9">
        <f t="shared" si="27"/>
        <v>1554787.94</v>
      </c>
      <c r="M206" s="9">
        <f t="shared" si="27"/>
        <v>1554787.94</v>
      </c>
      <c r="N206" s="9">
        <f t="shared" si="27"/>
        <v>1554787.94</v>
      </c>
      <c r="O206" s="9">
        <f t="shared" si="27"/>
        <v>1554787.94</v>
      </c>
      <c r="P206" s="9">
        <f t="shared" si="27"/>
        <v>1554787.94</v>
      </c>
      <c r="Q206" s="9">
        <f t="shared" si="27"/>
        <v>1554787.94</v>
      </c>
      <c r="R206" s="9">
        <f t="shared" si="27"/>
        <v>1554787.94</v>
      </c>
      <c r="S206" s="9">
        <f t="shared" si="27"/>
        <v>1554787.94</v>
      </c>
      <c r="T206" s="9">
        <f t="shared" si="27"/>
        <v>1554787.94</v>
      </c>
      <c r="U206" s="9">
        <f t="shared" si="27"/>
        <v>1554787.94</v>
      </c>
      <c r="V206" s="9">
        <f t="shared" si="27"/>
        <v>1554787.94</v>
      </c>
      <c r="W206" s="9">
        <f t="shared" si="27"/>
        <v>1554787.94</v>
      </c>
      <c r="X206" s="9">
        <f t="shared" si="27"/>
        <v>1554787.94</v>
      </c>
      <c r="Y206" s="9">
        <f t="shared" si="27"/>
        <v>1554787.94</v>
      </c>
      <c r="Z206" s="9">
        <f t="shared" si="27"/>
        <v>1554787.94</v>
      </c>
      <c r="AA206" s="67">
        <f t="shared" si="27"/>
        <v>1554787.94</v>
      </c>
    </row>
    <row r="207" spans="1:27" x14ac:dyDescent="0.2">
      <c r="B207" s="66" t="s">
        <v>41</v>
      </c>
      <c r="C207" s="9">
        <f t="shared" si="28"/>
        <v>1600485.78</v>
      </c>
      <c r="D207" s="9">
        <f t="shared" si="29"/>
        <v>1600485.78</v>
      </c>
      <c r="E207" s="9">
        <f t="shared" si="27"/>
        <v>1600485.78</v>
      </c>
      <c r="F207" s="9">
        <f t="shared" si="27"/>
        <v>1600485.78</v>
      </c>
      <c r="G207" s="9">
        <f t="shared" si="27"/>
        <v>1600485.78</v>
      </c>
      <c r="H207" s="9">
        <f t="shared" si="27"/>
        <v>1600485.78</v>
      </c>
      <c r="I207" s="9">
        <f t="shared" si="27"/>
        <v>1600485.78</v>
      </c>
      <c r="J207" s="9">
        <f t="shared" si="27"/>
        <v>1600485.78</v>
      </c>
      <c r="K207" s="9">
        <f t="shared" si="27"/>
        <v>1600485.78</v>
      </c>
      <c r="L207" s="9">
        <f t="shared" si="27"/>
        <v>1600485.78</v>
      </c>
      <c r="M207" s="9">
        <f t="shared" si="27"/>
        <v>1600485.78</v>
      </c>
      <c r="N207" s="9">
        <f t="shared" si="27"/>
        <v>1600485.78</v>
      </c>
      <c r="O207" s="9">
        <f t="shared" si="27"/>
        <v>1600485.78</v>
      </c>
      <c r="P207" s="9">
        <f t="shared" si="27"/>
        <v>1600485.78</v>
      </c>
      <c r="Q207" s="9">
        <f t="shared" si="27"/>
        <v>1600485.78</v>
      </c>
      <c r="R207" s="9">
        <f t="shared" si="27"/>
        <v>1600485.78</v>
      </c>
      <c r="S207" s="9">
        <f t="shared" si="27"/>
        <v>1600485.78</v>
      </c>
      <c r="T207" s="9">
        <f t="shared" si="27"/>
        <v>1600485.78</v>
      </c>
      <c r="U207" s="9">
        <f t="shared" si="27"/>
        <v>1600485.78</v>
      </c>
      <c r="V207" s="9">
        <f t="shared" si="27"/>
        <v>1600485.78</v>
      </c>
      <c r="W207" s="9">
        <f t="shared" si="27"/>
        <v>1600485.78</v>
      </c>
      <c r="X207" s="9">
        <f t="shared" si="27"/>
        <v>1600485.78</v>
      </c>
      <c r="Y207" s="9">
        <f t="shared" si="27"/>
        <v>1600485.78</v>
      </c>
      <c r="Z207" s="9">
        <f t="shared" si="27"/>
        <v>1600485.78</v>
      </c>
      <c r="AA207" s="67">
        <f t="shared" si="27"/>
        <v>1600485.78</v>
      </c>
    </row>
    <row r="208" spans="1:27" x14ac:dyDescent="0.2">
      <c r="B208" s="66" t="s">
        <v>42</v>
      </c>
      <c r="C208" s="9">
        <f t="shared" si="28"/>
        <v>813156.71</v>
      </c>
      <c r="D208" s="9">
        <f t="shared" si="29"/>
        <v>813156.71</v>
      </c>
      <c r="E208" s="9">
        <f t="shared" si="27"/>
        <v>813156.71</v>
      </c>
      <c r="F208" s="9">
        <f t="shared" si="27"/>
        <v>813156.71</v>
      </c>
      <c r="G208" s="9">
        <f t="shared" si="27"/>
        <v>813156.71</v>
      </c>
      <c r="H208" s="9">
        <f t="shared" si="27"/>
        <v>813156.71</v>
      </c>
      <c r="I208" s="9">
        <f t="shared" si="27"/>
        <v>813156.71</v>
      </c>
      <c r="J208" s="9">
        <f t="shared" si="27"/>
        <v>813156.71</v>
      </c>
      <c r="K208" s="9">
        <f t="shared" si="27"/>
        <v>813156.71</v>
      </c>
      <c r="L208" s="9">
        <f t="shared" si="27"/>
        <v>813156.71</v>
      </c>
      <c r="M208" s="9">
        <f t="shared" si="27"/>
        <v>813156.71</v>
      </c>
      <c r="N208" s="9">
        <f t="shared" si="27"/>
        <v>813156.71</v>
      </c>
      <c r="O208" s="9">
        <f t="shared" si="27"/>
        <v>813156.71</v>
      </c>
      <c r="P208" s="9">
        <f t="shared" si="27"/>
        <v>813156.71</v>
      </c>
      <c r="Q208" s="9">
        <f t="shared" si="27"/>
        <v>813156.71</v>
      </c>
      <c r="R208" s="9">
        <f t="shared" si="27"/>
        <v>813156.71</v>
      </c>
      <c r="S208" s="9">
        <f t="shared" si="27"/>
        <v>813156.71</v>
      </c>
      <c r="T208" s="9">
        <f t="shared" si="27"/>
        <v>813156.71</v>
      </c>
      <c r="U208" s="9">
        <f t="shared" si="27"/>
        <v>813156.71</v>
      </c>
      <c r="V208" s="9">
        <f t="shared" si="27"/>
        <v>813156.71</v>
      </c>
      <c r="W208" s="9">
        <f t="shared" si="27"/>
        <v>813156.71</v>
      </c>
      <c r="X208" s="9">
        <f t="shared" si="27"/>
        <v>813156.71</v>
      </c>
      <c r="Y208" s="9">
        <f t="shared" si="27"/>
        <v>813156.71</v>
      </c>
      <c r="Z208" s="9">
        <f t="shared" si="27"/>
        <v>813156.71</v>
      </c>
      <c r="AA208" s="67">
        <f t="shared" si="27"/>
        <v>813156.71</v>
      </c>
    </row>
    <row r="209" spans="2:27" x14ac:dyDescent="0.2">
      <c r="B209" s="66" t="s">
        <v>43</v>
      </c>
      <c r="C209" s="9">
        <f t="shared" si="28"/>
        <v>7019749.1299999999</v>
      </c>
      <c r="D209" s="9">
        <f t="shared" si="29"/>
        <v>7019749.1299999999</v>
      </c>
      <c r="E209" s="9">
        <f t="shared" si="27"/>
        <v>7019749.1299999999</v>
      </c>
      <c r="F209" s="9">
        <f t="shared" si="27"/>
        <v>7019749.1299999999</v>
      </c>
      <c r="G209" s="9">
        <f t="shared" si="27"/>
        <v>7019749.1299999999</v>
      </c>
      <c r="H209" s="9">
        <f t="shared" si="27"/>
        <v>7019749.1299999999</v>
      </c>
      <c r="I209" s="9">
        <f t="shared" si="27"/>
        <v>7019749.1299999999</v>
      </c>
      <c r="J209" s="9">
        <f t="shared" si="27"/>
        <v>7019749.1299999999</v>
      </c>
      <c r="K209" s="9">
        <f t="shared" si="27"/>
        <v>7019749.1299999999</v>
      </c>
      <c r="L209" s="9">
        <f t="shared" si="27"/>
        <v>7019749.1299999999</v>
      </c>
      <c r="M209" s="9">
        <f t="shared" si="27"/>
        <v>7019749.1299999999</v>
      </c>
      <c r="N209" s="9">
        <f t="shared" si="27"/>
        <v>7019749.1299999999</v>
      </c>
      <c r="O209" s="9">
        <f t="shared" si="27"/>
        <v>7019749.1299999999</v>
      </c>
      <c r="P209" s="9">
        <f t="shared" si="27"/>
        <v>7019749.1299999999</v>
      </c>
      <c r="Q209" s="9">
        <f t="shared" si="27"/>
        <v>7019749.1299999999</v>
      </c>
      <c r="R209" s="9">
        <f t="shared" si="27"/>
        <v>7019749.1299999999</v>
      </c>
      <c r="S209" s="9">
        <f t="shared" si="27"/>
        <v>7019749.1299999999</v>
      </c>
      <c r="T209" s="9">
        <f t="shared" si="27"/>
        <v>7019749.1299999999</v>
      </c>
      <c r="U209" s="9">
        <f t="shared" si="27"/>
        <v>7019749.1299999999</v>
      </c>
      <c r="V209" s="9">
        <f t="shared" si="27"/>
        <v>7019749.1299999999</v>
      </c>
      <c r="W209" s="9">
        <f t="shared" si="27"/>
        <v>7019749.1299999999</v>
      </c>
      <c r="X209" s="9">
        <f t="shared" si="27"/>
        <v>7019749.1299999999</v>
      </c>
      <c r="Y209" s="9">
        <f t="shared" si="27"/>
        <v>7019749.1299999999</v>
      </c>
      <c r="Z209" s="9">
        <f t="shared" si="27"/>
        <v>7019749.1299999999</v>
      </c>
      <c r="AA209" s="67">
        <f t="shared" si="27"/>
        <v>7019749.1299999999</v>
      </c>
    </row>
    <row r="210" spans="2:27" x14ac:dyDescent="0.2">
      <c r="B210" s="66" t="s">
        <v>44</v>
      </c>
      <c r="C210" s="9">
        <f t="shared" si="28"/>
        <v>1922108.56</v>
      </c>
      <c r="D210" s="9">
        <f t="shared" si="29"/>
        <v>1922108.56</v>
      </c>
      <c r="E210" s="9">
        <f t="shared" si="27"/>
        <v>1922108.56</v>
      </c>
      <c r="F210" s="9">
        <f t="shared" si="27"/>
        <v>1922108.56</v>
      </c>
      <c r="G210" s="9">
        <f t="shared" si="27"/>
        <v>1922108.56</v>
      </c>
      <c r="H210" s="9">
        <f t="shared" si="27"/>
        <v>1922108.56</v>
      </c>
      <c r="I210" s="9">
        <f t="shared" si="27"/>
        <v>1922108.56</v>
      </c>
      <c r="J210" s="9">
        <f t="shared" si="27"/>
        <v>1922108.56</v>
      </c>
      <c r="K210" s="9">
        <f t="shared" si="27"/>
        <v>1922108.56</v>
      </c>
      <c r="L210" s="9">
        <f t="shared" si="27"/>
        <v>1922108.56</v>
      </c>
      <c r="M210" s="9">
        <f t="shared" si="27"/>
        <v>1922108.56</v>
      </c>
      <c r="N210" s="9">
        <f t="shared" si="27"/>
        <v>1922108.56</v>
      </c>
      <c r="O210" s="9">
        <f t="shared" si="27"/>
        <v>1922108.56</v>
      </c>
      <c r="P210" s="9">
        <f t="shared" si="27"/>
        <v>1922108.56</v>
      </c>
      <c r="Q210" s="9">
        <f t="shared" si="27"/>
        <v>1922108.56</v>
      </c>
      <c r="R210" s="9">
        <f t="shared" si="27"/>
        <v>1922108.56</v>
      </c>
      <c r="S210" s="9">
        <f t="shared" si="27"/>
        <v>1922108.56</v>
      </c>
      <c r="T210" s="9">
        <f t="shared" si="27"/>
        <v>1922108.56</v>
      </c>
      <c r="U210" s="9">
        <f t="shared" si="27"/>
        <v>1922108.56</v>
      </c>
      <c r="V210" s="9">
        <f t="shared" si="27"/>
        <v>1922108.56</v>
      </c>
      <c r="W210" s="9">
        <f t="shared" si="27"/>
        <v>1922108.56</v>
      </c>
      <c r="X210" s="9">
        <f t="shared" si="27"/>
        <v>1922108.56</v>
      </c>
      <c r="Y210" s="9">
        <f t="shared" si="27"/>
        <v>1922108.56</v>
      </c>
      <c r="Z210" s="9">
        <f t="shared" si="27"/>
        <v>1922108.56</v>
      </c>
      <c r="AA210" s="67">
        <f t="shared" si="27"/>
        <v>1922108.56</v>
      </c>
    </row>
    <row r="211" spans="2:27" x14ac:dyDescent="0.2">
      <c r="B211" s="66" t="s">
        <v>45</v>
      </c>
      <c r="C211" s="9">
        <f t="shared" si="28"/>
        <v>783520.13</v>
      </c>
      <c r="D211" s="9">
        <f t="shared" si="29"/>
        <v>783520.13</v>
      </c>
      <c r="E211" s="9">
        <f t="shared" si="27"/>
        <v>783520.13</v>
      </c>
      <c r="F211" s="9">
        <f t="shared" si="27"/>
        <v>783520.13</v>
      </c>
      <c r="G211" s="9">
        <f t="shared" si="27"/>
        <v>783520.13</v>
      </c>
      <c r="H211" s="9">
        <f t="shared" si="27"/>
        <v>783520.13</v>
      </c>
      <c r="I211" s="9">
        <f t="shared" si="27"/>
        <v>783520.13</v>
      </c>
      <c r="J211" s="9">
        <f t="shared" si="27"/>
        <v>783520.13</v>
      </c>
      <c r="K211" s="9">
        <f t="shared" si="27"/>
        <v>783520.13</v>
      </c>
      <c r="L211" s="9">
        <f t="shared" si="27"/>
        <v>783520.13</v>
      </c>
      <c r="M211" s="9">
        <f t="shared" si="27"/>
        <v>783520.13</v>
      </c>
      <c r="N211" s="9">
        <f t="shared" si="27"/>
        <v>783520.13</v>
      </c>
      <c r="O211" s="9">
        <f t="shared" si="27"/>
        <v>783520.13</v>
      </c>
      <c r="P211" s="9">
        <f t="shared" si="27"/>
        <v>783520.13</v>
      </c>
      <c r="Q211" s="9">
        <f t="shared" si="27"/>
        <v>783520.13</v>
      </c>
      <c r="R211" s="9">
        <f t="shared" si="27"/>
        <v>783520.13</v>
      </c>
      <c r="S211" s="9">
        <f t="shared" si="27"/>
        <v>783520.13</v>
      </c>
      <c r="T211" s="9">
        <f t="shared" si="27"/>
        <v>783520.13</v>
      </c>
      <c r="U211" s="9">
        <f t="shared" si="27"/>
        <v>783520.13</v>
      </c>
      <c r="V211" s="9">
        <f t="shared" si="27"/>
        <v>783520.13</v>
      </c>
      <c r="W211" s="9">
        <f t="shared" si="27"/>
        <v>783520.13</v>
      </c>
      <c r="X211" s="9">
        <f t="shared" si="27"/>
        <v>783520.13</v>
      </c>
      <c r="Y211" s="9">
        <f t="shared" si="27"/>
        <v>783520.13</v>
      </c>
      <c r="Z211" s="9">
        <f t="shared" si="27"/>
        <v>783520.13</v>
      </c>
      <c r="AA211" s="67">
        <f t="shared" si="27"/>
        <v>783520.13</v>
      </c>
    </row>
    <row r="212" spans="2:27" x14ac:dyDescent="0.2">
      <c r="B212" s="66" t="s">
        <v>46</v>
      </c>
      <c r="C212" s="9">
        <f t="shared" si="28"/>
        <v>2836745.31</v>
      </c>
      <c r="D212" s="9">
        <f t="shared" si="29"/>
        <v>2836745.31</v>
      </c>
      <c r="E212" s="9">
        <f t="shared" si="27"/>
        <v>2836745.31</v>
      </c>
      <c r="F212" s="9">
        <f t="shared" si="27"/>
        <v>2836745.31</v>
      </c>
      <c r="G212" s="9">
        <f t="shared" si="27"/>
        <v>2836745.31</v>
      </c>
      <c r="H212" s="9">
        <f t="shared" si="27"/>
        <v>2836745.31</v>
      </c>
      <c r="I212" s="9">
        <f t="shared" si="27"/>
        <v>2836745.31</v>
      </c>
      <c r="J212" s="9">
        <f t="shared" si="27"/>
        <v>2836745.31</v>
      </c>
      <c r="K212" s="9">
        <f t="shared" si="27"/>
        <v>2836745.31</v>
      </c>
      <c r="L212" s="9">
        <f t="shared" si="27"/>
        <v>2836745.31</v>
      </c>
      <c r="M212" s="9">
        <f t="shared" si="27"/>
        <v>2836745.31</v>
      </c>
      <c r="N212" s="9">
        <f t="shared" si="27"/>
        <v>2836745.31</v>
      </c>
      <c r="O212" s="9">
        <f t="shared" si="27"/>
        <v>2836745.31</v>
      </c>
      <c r="P212" s="9">
        <f t="shared" si="27"/>
        <v>2836745.31</v>
      </c>
      <c r="Q212" s="9">
        <f t="shared" si="27"/>
        <v>2836745.31</v>
      </c>
      <c r="R212" s="9">
        <f t="shared" si="27"/>
        <v>2836745.31</v>
      </c>
      <c r="S212" s="9">
        <f t="shared" si="27"/>
        <v>2836745.31</v>
      </c>
      <c r="T212" s="9">
        <f t="shared" si="27"/>
        <v>2836745.31</v>
      </c>
      <c r="U212" s="9">
        <f t="shared" si="27"/>
        <v>2836745.31</v>
      </c>
      <c r="V212" s="9">
        <f t="shared" si="27"/>
        <v>2836745.31</v>
      </c>
      <c r="W212" s="9">
        <f t="shared" si="27"/>
        <v>2836745.31</v>
      </c>
      <c r="X212" s="9">
        <f t="shared" si="27"/>
        <v>2836745.31</v>
      </c>
      <c r="Y212" s="9">
        <f t="shared" si="27"/>
        <v>2836745.31</v>
      </c>
      <c r="Z212" s="9">
        <f t="shared" si="27"/>
        <v>2836745.31</v>
      </c>
      <c r="AA212" s="67">
        <f t="shared" si="27"/>
        <v>2836745.31</v>
      </c>
    </row>
    <row r="213" spans="2:27" x14ac:dyDescent="0.2">
      <c r="B213" s="63" t="s">
        <v>47</v>
      </c>
      <c r="C213" s="8">
        <f t="shared" ref="C213" si="30">C203-C204</f>
        <v>34704.710000000894</v>
      </c>
      <c r="D213" s="8">
        <f t="shared" si="29"/>
        <v>34704.710000000894</v>
      </c>
      <c r="E213" s="8">
        <f t="shared" si="27"/>
        <v>34704.710000000894</v>
      </c>
      <c r="F213" s="8">
        <f t="shared" si="27"/>
        <v>34704.710000000894</v>
      </c>
      <c r="G213" s="8">
        <f t="shared" si="27"/>
        <v>34704.710000000894</v>
      </c>
      <c r="H213" s="8">
        <f t="shared" si="27"/>
        <v>34704.710000000894</v>
      </c>
      <c r="I213" s="8">
        <f t="shared" si="27"/>
        <v>34704.710000000894</v>
      </c>
      <c r="J213" s="8">
        <f t="shared" si="27"/>
        <v>34704.710000000894</v>
      </c>
      <c r="K213" s="8">
        <f t="shared" si="27"/>
        <v>34704.710000000894</v>
      </c>
      <c r="L213" s="8">
        <f t="shared" si="27"/>
        <v>34704.710000000894</v>
      </c>
      <c r="M213" s="8">
        <f t="shared" si="27"/>
        <v>34704.710000000894</v>
      </c>
      <c r="N213" s="8">
        <f t="shared" si="27"/>
        <v>34704.710000000894</v>
      </c>
      <c r="O213" s="8">
        <f t="shared" si="27"/>
        <v>34704.710000000894</v>
      </c>
      <c r="P213" s="8">
        <f t="shared" si="27"/>
        <v>34704.710000000894</v>
      </c>
      <c r="Q213" s="8">
        <f t="shared" si="27"/>
        <v>34704.710000000894</v>
      </c>
      <c r="R213" s="8">
        <f t="shared" si="27"/>
        <v>34704.710000000894</v>
      </c>
      <c r="S213" s="8">
        <f t="shared" si="27"/>
        <v>34704.710000000894</v>
      </c>
      <c r="T213" s="8">
        <f t="shared" si="27"/>
        <v>34704.710000000894</v>
      </c>
      <c r="U213" s="8">
        <f t="shared" si="27"/>
        <v>34704.710000000894</v>
      </c>
      <c r="V213" s="8">
        <f t="shared" si="27"/>
        <v>34704.710000000894</v>
      </c>
      <c r="W213" s="8">
        <f t="shared" si="27"/>
        <v>34704.710000000894</v>
      </c>
      <c r="X213" s="8">
        <f t="shared" si="27"/>
        <v>34704.710000000894</v>
      </c>
      <c r="Y213" s="8">
        <f t="shared" si="27"/>
        <v>34704.710000000894</v>
      </c>
      <c r="Z213" s="8">
        <f t="shared" si="27"/>
        <v>34704.710000000894</v>
      </c>
      <c r="AA213" s="65">
        <f t="shared" si="27"/>
        <v>34704.710000000894</v>
      </c>
    </row>
    <row r="214" spans="2:27" x14ac:dyDescent="0.2">
      <c r="B214" s="63" t="s">
        <v>48</v>
      </c>
      <c r="C214" s="8">
        <f>SUM(C215:C217)</f>
        <v>220598.99</v>
      </c>
      <c r="D214" s="8">
        <f t="shared" si="29"/>
        <v>220598.99</v>
      </c>
      <c r="E214" s="8">
        <f t="shared" si="27"/>
        <v>220598.99</v>
      </c>
      <c r="F214" s="8">
        <f t="shared" si="27"/>
        <v>220598.99</v>
      </c>
      <c r="G214" s="8">
        <f t="shared" si="27"/>
        <v>220598.99</v>
      </c>
      <c r="H214" s="8">
        <f t="shared" si="27"/>
        <v>220598.99</v>
      </c>
      <c r="I214" s="8">
        <f t="shared" si="27"/>
        <v>220598.99</v>
      </c>
      <c r="J214" s="8">
        <f t="shared" si="27"/>
        <v>220598.99</v>
      </c>
      <c r="K214" s="8">
        <f t="shared" si="27"/>
        <v>220598.99</v>
      </c>
      <c r="L214" s="8">
        <f t="shared" si="27"/>
        <v>220598.99</v>
      </c>
      <c r="M214" s="8">
        <f t="shared" si="27"/>
        <v>220598.99</v>
      </c>
      <c r="N214" s="8">
        <f t="shared" si="27"/>
        <v>220598.99</v>
      </c>
      <c r="O214" s="8">
        <f t="shared" si="27"/>
        <v>220598.99</v>
      </c>
      <c r="P214" s="8">
        <f t="shared" si="27"/>
        <v>220598.99</v>
      </c>
      <c r="Q214" s="8">
        <f t="shared" si="27"/>
        <v>220598.99</v>
      </c>
      <c r="R214" s="8">
        <f t="shared" si="27"/>
        <v>220598.99</v>
      </c>
      <c r="S214" s="8">
        <f t="shared" si="27"/>
        <v>220598.99</v>
      </c>
      <c r="T214" s="8">
        <f t="shared" si="27"/>
        <v>220598.99</v>
      </c>
      <c r="U214" s="8">
        <f t="shared" si="27"/>
        <v>220598.99</v>
      </c>
      <c r="V214" s="8">
        <f t="shared" si="27"/>
        <v>220598.99</v>
      </c>
      <c r="W214" s="8">
        <f t="shared" si="27"/>
        <v>220598.99</v>
      </c>
      <c r="X214" s="8">
        <f t="shared" si="27"/>
        <v>220598.99</v>
      </c>
      <c r="Y214" s="8">
        <f t="shared" si="27"/>
        <v>220598.99</v>
      </c>
      <c r="Z214" s="8">
        <f t="shared" si="27"/>
        <v>220598.99</v>
      </c>
      <c r="AA214" s="65">
        <f t="shared" si="27"/>
        <v>220598.99</v>
      </c>
    </row>
    <row r="215" spans="2:27" x14ac:dyDescent="0.2">
      <c r="B215" s="66" t="s">
        <v>49</v>
      </c>
      <c r="C215" s="9">
        <f>D93</f>
        <v>0</v>
      </c>
      <c r="D215" s="9">
        <f t="shared" si="29"/>
        <v>0</v>
      </c>
      <c r="E215" s="9">
        <f t="shared" si="27"/>
        <v>0</v>
      </c>
      <c r="F215" s="9">
        <f t="shared" si="27"/>
        <v>0</v>
      </c>
      <c r="G215" s="9">
        <f t="shared" si="27"/>
        <v>0</v>
      </c>
      <c r="H215" s="9">
        <f t="shared" si="27"/>
        <v>0</v>
      </c>
      <c r="I215" s="9">
        <f t="shared" si="27"/>
        <v>0</v>
      </c>
      <c r="J215" s="9">
        <f t="shared" si="27"/>
        <v>0</v>
      </c>
      <c r="K215" s="9">
        <f t="shared" si="27"/>
        <v>0</v>
      </c>
      <c r="L215" s="9">
        <f t="shared" si="27"/>
        <v>0</v>
      </c>
      <c r="M215" s="9">
        <f t="shared" si="27"/>
        <v>0</v>
      </c>
      <c r="N215" s="9">
        <f t="shared" si="27"/>
        <v>0</v>
      </c>
      <c r="O215" s="9">
        <f t="shared" si="27"/>
        <v>0</v>
      </c>
      <c r="P215" s="9">
        <f t="shared" si="27"/>
        <v>0</v>
      </c>
      <c r="Q215" s="9">
        <f t="shared" si="27"/>
        <v>0</v>
      </c>
      <c r="R215" s="9">
        <f t="shared" si="27"/>
        <v>0</v>
      </c>
      <c r="S215" s="9">
        <f t="shared" si="27"/>
        <v>0</v>
      </c>
      <c r="T215" s="9">
        <f t="shared" si="27"/>
        <v>0</v>
      </c>
      <c r="U215" s="9">
        <f t="shared" si="27"/>
        <v>0</v>
      </c>
      <c r="V215" s="9">
        <f t="shared" ref="E215:AA226" si="31">U215</f>
        <v>0</v>
      </c>
      <c r="W215" s="9">
        <f t="shared" si="31"/>
        <v>0</v>
      </c>
      <c r="X215" s="9">
        <f t="shared" si="31"/>
        <v>0</v>
      </c>
      <c r="Y215" s="9">
        <f t="shared" si="31"/>
        <v>0</v>
      </c>
      <c r="Z215" s="9">
        <f t="shared" si="31"/>
        <v>0</v>
      </c>
      <c r="AA215" s="67">
        <f t="shared" si="31"/>
        <v>0</v>
      </c>
    </row>
    <row r="216" spans="2:27" x14ac:dyDescent="0.2">
      <c r="B216" s="66" t="s">
        <v>50</v>
      </c>
      <c r="C216" s="9">
        <f>D94</f>
        <v>0</v>
      </c>
      <c r="D216" s="9">
        <f t="shared" si="29"/>
        <v>0</v>
      </c>
      <c r="E216" s="9">
        <f t="shared" si="31"/>
        <v>0</v>
      </c>
      <c r="F216" s="9">
        <f t="shared" si="31"/>
        <v>0</v>
      </c>
      <c r="G216" s="9">
        <f t="shared" si="31"/>
        <v>0</v>
      </c>
      <c r="H216" s="9">
        <f t="shared" si="31"/>
        <v>0</v>
      </c>
      <c r="I216" s="9">
        <f t="shared" si="31"/>
        <v>0</v>
      </c>
      <c r="J216" s="9">
        <f t="shared" si="31"/>
        <v>0</v>
      </c>
      <c r="K216" s="9">
        <f t="shared" si="31"/>
        <v>0</v>
      </c>
      <c r="L216" s="9">
        <f t="shared" si="31"/>
        <v>0</v>
      </c>
      <c r="M216" s="9">
        <f t="shared" si="31"/>
        <v>0</v>
      </c>
      <c r="N216" s="9">
        <f t="shared" si="31"/>
        <v>0</v>
      </c>
      <c r="O216" s="9">
        <f t="shared" si="31"/>
        <v>0</v>
      </c>
      <c r="P216" s="9">
        <f t="shared" si="31"/>
        <v>0</v>
      </c>
      <c r="Q216" s="9">
        <f t="shared" si="31"/>
        <v>0</v>
      </c>
      <c r="R216" s="9">
        <f t="shared" si="31"/>
        <v>0</v>
      </c>
      <c r="S216" s="9">
        <f t="shared" si="31"/>
        <v>0</v>
      </c>
      <c r="T216" s="9">
        <f t="shared" si="31"/>
        <v>0</v>
      </c>
      <c r="U216" s="9">
        <f t="shared" si="31"/>
        <v>0</v>
      </c>
      <c r="V216" s="9">
        <f t="shared" si="31"/>
        <v>0</v>
      </c>
      <c r="W216" s="9">
        <f t="shared" si="31"/>
        <v>0</v>
      </c>
      <c r="X216" s="9">
        <f t="shared" si="31"/>
        <v>0</v>
      </c>
      <c r="Y216" s="9">
        <f t="shared" si="31"/>
        <v>0</v>
      </c>
      <c r="Z216" s="9">
        <f t="shared" si="31"/>
        <v>0</v>
      </c>
      <c r="AA216" s="67">
        <f t="shared" si="31"/>
        <v>0</v>
      </c>
    </row>
    <row r="217" spans="2:27" x14ac:dyDescent="0.2">
      <c r="B217" s="66" t="s">
        <v>51</v>
      </c>
      <c r="C217" s="9">
        <f>D95</f>
        <v>220598.99</v>
      </c>
      <c r="D217" s="9">
        <f t="shared" si="29"/>
        <v>220598.99</v>
      </c>
      <c r="E217" s="9">
        <f t="shared" si="31"/>
        <v>220598.99</v>
      </c>
      <c r="F217" s="9">
        <f t="shared" si="31"/>
        <v>220598.99</v>
      </c>
      <c r="G217" s="9">
        <f t="shared" si="31"/>
        <v>220598.99</v>
      </c>
      <c r="H217" s="9">
        <f t="shared" si="31"/>
        <v>220598.99</v>
      </c>
      <c r="I217" s="9">
        <f t="shared" si="31"/>
        <v>220598.99</v>
      </c>
      <c r="J217" s="9">
        <f t="shared" si="31"/>
        <v>220598.99</v>
      </c>
      <c r="K217" s="9">
        <f t="shared" si="31"/>
        <v>220598.99</v>
      </c>
      <c r="L217" s="9">
        <f t="shared" si="31"/>
        <v>220598.99</v>
      </c>
      <c r="M217" s="9">
        <f t="shared" si="31"/>
        <v>220598.99</v>
      </c>
      <c r="N217" s="9">
        <f t="shared" si="31"/>
        <v>220598.99</v>
      </c>
      <c r="O217" s="9">
        <f t="shared" si="31"/>
        <v>220598.99</v>
      </c>
      <c r="P217" s="9">
        <f t="shared" si="31"/>
        <v>220598.99</v>
      </c>
      <c r="Q217" s="9">
        <f t="shared" si="31"/>
        <v>220598.99</v>
      </c>
      <c r="R217" s="9">
        <f t="shared" si="31"/>
        <v>220598.99</v>
      </c>
      <c r="S217" s="9">
        <f t="shared" si="31"/>
        <v>220598.99</v>
      </c>
      <c r="T217" s="9">
        <f t="shared" si="31"/>
        <v>220598.99</v>
      </c>
      <c r="U217" s="9">
        <f t="shared" si="31"/>
        <v>220598.99</v>
      </c>
      <c r="V217" s="9">
        <f t="shared" si="31"/>
        <v>220598.99</v>
      </c>
      <c r="W217" s="9">
        <f t="shared" si="31"/>
        <v>220598.99</v>
      </c>
      <c r="X217" s="9">
        <f t="shared" si="31"/>
        <v>220598.99</v>
      </c>
      <c r="Y217" s="9">
        <f t="shared" si="31"/>
        <v>220598.99</v>
      </c>
      <c r="Z217" s="9">
        <f t="shared" si="31"/>
        <v>220598.99</v>
      </c>
      <c r="AA217" s="67">
        <f t="shared" si="31"/>
        <v>220598.99</v>
      </c>
    </row>
    <row r="218" spans="2:27" x14ac:dyDescent="0.2">
      <c r="B218" s="63" t="s">
        <v>52</v>
      </c>
      <c r="C218" s="8">
        <f>D96</f>
        <v>1362.67</v>
      </c>
      <c r="D218" s="8">
        <f t="shared" si="29"/>
        <v>1362.67</v>
      </c>
      <c r="E218" s="8">
        <f t="shared" si="31"/>
        <v>1362.67</v>
      </c>
      <c r="F218" s="8">
        <f t="shared" si="31"/>
        <v>1362.67</v>
      </c>
      <c r="G218" s="8">
        <f t="shared" si="31"/>
        <v>1362.67</v>
      </c>
      <c r="H218" s="8">
        <f t="shared" si="31"/>
        <v>1362.67</v>
      </c>
      <c r="I218" s="8">
        <f t="shared" si="31"/>
        <v>1362.67</v>
      </c>
      <c r="J218" s="8">
        <f t="shared" si="31"/>
        <v>1362.67</v>
      </c>
      <c r="K218" s="8">
        <f t="shared" si="31"/>
        <v>1362.67</v>
      </c>
      <c r="L218" s="8">
        <f t="shared" si="31"/>
        <v>1362.67</v>
      </c>
      <c r="M218" s="8">
        <f t="shared" si="31"/>
        <v>1362.67</v>
      </c>
      <c r="N218" s="8">
        <f t="shared" si="31"/>
        <v>1362.67</v>
      </c>
      <c r="O218" s="8">
        <f t="shared" si="31"/>
        <v>1362.67</v>
      </c>
      <c r="P218" s="8">
        <f t="shared" si="31"/>
        <v>1362.67</v>
      </c>
      <c r="Q218" s="8">
        <f t="shared" si="31"/>
        <v>1362.67</v>
      </c>
      <c r="R218" s="8">
        <f t="shared" si="31"/>
        <v>1362.67</v>
      </c>
      <c r="S218" s="8">
        <f t="shared" si="31"/>
        <v>1362.67</v>
      </c>
      <c r="T218" s="8">
        <f t="shared" si="31"/>
        <v>1362.67</v>
      </c>
      <c r="U218" s="8">
        <f t="shared" si="31"/>
        <v>1362.67</v>
      </c>
      <c r="V218" s="8">
        <f t="shared" si="31"/>
        <v>1362.67</v>
      </c>
      <c r="W218" s="8">
        <f t="shared" si="31"/>
        <v>1362.67</v>
      </c>
      <c r="X218" s="8">
        <f t="shared" si="31"/>
        <v>1362.67</v>
      </c>
      <c r="Y218" s="8">
        <f t="shared" si="31"/>
        <v>1362.67</v>
      </c>
      <c r="Z218" s="8">
        <f t="shared" si="31"/>
        <v>1362.67</v>
      </c>
      <c r="AA218" s="65">
        <f t="shared" si="31"/>
        <v>1362.67</v>
      </c>
    </row>
    <row r="219" spans="2:27" x14ac:dyDescent="0.2">
      <c r="B219" s="63" t="s">
        <v>53</v>
      </c>
      <c r="C219" s="8">
        <f>C213+C214-C218</f>
        <v>253941.03000000087</v>
      </c>
      <c r="D219" s="8">
        <f t="shared" si="29"/>
        <v>253941.03000000087</v>
      </c>
      <c r="E219" s="8">
        <f t="shared" si="31"/>
        <v>253941.03000000087</v>
      </c>
      <c r="F219" s="8">
        <f t="shared" si="31"/>
        <v>253941.03000000087</v>
      </c>
      <c r="G219" s="8">
        <f t="shared" si="31"/>
        <v>253941.03000000087</v>
      </c>
      <c r="H219" s="8">
        <f t="shared" si="31"/>
        <v>253941.03000000087</v>
      </c>
      <c r="I219" s="8">
        <f t="shared" si="31"/>
        <v>253941.03000000087</v>
      </c>
      <c r="J219" s="8">
        <f t="shared" si="31"/>
        <v>253941.03000000087</v>
      </c>
      <c r="K219" s="8">
        <f t="shared" si="31"/>
        <v>253941.03000000087</v>
      </c>
      <c r="L219" s="8">
        <f t="shared" si="31"/>
        <v>253941.03000000087</v>
      </c>
      <c r="M219" s="8">
        <f t="shared" si="31"/>
        <v>253941.03000000087</v>
      </c>
      <c r="N219" s="8">
        <f t="shared" si="31"/>
        <v>253941.03000000087</v>
      </c>
      <c r="O219" s="8">
        <f t="shared" si="31"/>
        <v>253941.03000000087</v>
      </c>
      <c r="P219" s="8">
        <f t="shared" si="31"/>
        <v>253941.03000000087</v>
      </c>
      <c r="Q219" s="8">
        <f t="shared" si="31"/>
        <v>253941.03000000087</v>
      </c>
      <c r="R219" s="8">
        <f t="shared" si="31"/>
        <v>253941.03000000087</v>
      </c>
      <c r="S219" s="8">
        <f t="shared" si="31"/>
        <v>253941.03000000087</v>
      </c>
      <c r="T219" s="8">
        <f t="shared" si="31"/>
        <v>253941.03000000087</v>
      </c>
      <c r="U219" s="8">
        <f t="shared" si="31"/>
        <v>253941.03000000087</v>
      </c>
      <c r="V219" s="8">
        <f t="shared" si="31"/>
        <v>253941.03000000087</v>
      </c>
      <c r="W219" s="8">
        <f t="shared" si="31"/>
        <v>253941.03000000087</v>
      </c>
      <c r="X219" s="8">
        <f t="shared" si="31"/>
        <v>253941.03000000087</v>
      </c>
      <c r="Y219" s="8">
        <f t="shared" si="31"/>
        <v>253941.03000000087</v>
      </c>
      <c r="Z219" s="8">
        <f t="shared" si="31"/>
        <v>253941.03000000087</v>
      </c>
      <c r="AA219" s="65">
        <f t="shared" si="31"/>
        <v>253941.03000000087</v>
      </c>
    </row>
    <row r="220" spans="2:27" x14ac:dyDescent="0.2">
      <c r="B220" s="63" t="s">
        <v>54</v>
      </c>
      <c r="C220" s="8">
        <f>D98</f>
        <v>8953.68</v>
      </c>
      <c r="D220" s="8">
        <f t="shared" si="29"/>
        <v>8953.68</v>
      </c>
      <c r="E220" s="8">
        <f t="shared" si="31"/>
        <v>8953.68</v>
      </c>
      <c r="F220" s="8">
        <f t="shared" si="31"/>
        <v>8953.68</v>
      </c>
      <c r="G220" s="8">
        <f t="shared" si="31"/>
        <v>8953.68</v>
      </c>
      <c r="H220" s="8">
        <f t="shared" si="31"/>
        <v>8953.68</v>
      </c>
      <c r="I220" s="8">
        <f t="shared" si="31"/>
        <v>8953.68</v>
      </c>
      <c r="J220" s="8">
        <f t="shared" si="31"/>
        <v>8953.68</v>
      </c>
      <c r="K220" s="8">
        <f t="shared" si="31"/>
        <v>8953.68</v>
      </c>
      <c r="L220" s="8">
        <f t="shared" si="31"/>
        <v>8953.68</v>
      </c>
      <c r="M220" s="8">
        <f t="shared" si="31"/>
        <v>8953.68</v>
      </c>
      <c r="N220" s="8">
        <f t="shared" si="31"/>
        <v>8953.68</v>
      </c>
      <c r="O220" s="8">
        <f t="shared" si="31"/>
        <v>8953.68</v>
      </c>
      <c r="P220" s="8">
        <f t="shared" si="31"/>
        <v>8953.68</v>
      </c>
      <c r="Q220" s="8">
        <f t="shared" si="31"/>
        <v>8953.68</v>
      </c>
      <c r="R220" s="8">
        <f t="shared" si="31"/>
        <v>8953.68</v>
      </c>
      <c r="S220" s="8">
        <f t="shared" si="31"/>
        <v>8953.68</v>
      </c>
      <c r="T220" s="8">
        <f t="shared" si="31"/>
        <v>8953.68</v>
      </c>
      <c r="U220" s="8">
        <f t="shared" si="31"/>
        <v>8953.68</v>
      </c>
      <c r="V220" s="8">
        <f t="shared" si="31"/>
        <v>8953.68</v>
      </c>
      <c r="W220" s="8">
        <f t="shared" si="31"/>
        <v>8953.68</v>
      </c>
      <c r="X220" s="8">
        <f t="shared" si="31"/>
        <v>8953.68</v>
      </c>
      <c r="Y220" s="8">
        <f t="shared" si="31"/>
        <v>8953.68</v>
      </c>
      <c r="Z220" s="8">
        <f t="shared" si="31"/>
        <v>8953.68</v>
      </c>
      <c r="AA220" s="65">
        <f t="shared" si="31"/>
        <v>8953.68</v>
      </c>
    </row>
    <row r="221" spans="2:27" x14ac:dyDescent="0.2">
      <c r="B221" s="63" t="s">
        <v>55</v>
      </c>
      <c r="C221" s="8">
        <f>D99</f>
        <v>203067.09</v>
      </c>
      <c r="D221" s="8">
        <f t="shared" si="29"/>
        <v>203067.09</v>
      </c>
      <c r="E221" s="8">
        <f t="shared" si="31"/>
        <v>203067.09</v>
      </c>
      <c r="F221" s="8">
        <f t="shared" si="31"/>
        <v>203067.09</v>
      </c>
      <c r="G221" s="8">
        <f t="shared" si="31"/>
        <v>203067.09</v>
      </c>
      <c r="H221" s="8">
        <f t="shared" si="31"/>
        <v>203067.09</v>
      </c>
      <c r="I221" s="8">
        <f t="shared" si="31"/>
        <v>203067.09</v>
      </c>
      <c r="J221" s="8">
        <f t="shared" si="31"/>
        <v>203067.09</v>
      </c>
      <c r="K221" s="8">
        <f t="shared" si="31"/>
        <v>203067.09</v>
      </c>
      <c r="L221" s="8">
        <f t="shared" si="31"/>
        <v>203067.09</v>
      </c>
      <c r="M221" s="8">
        <f t="shared" si="31"/>
        <v>203067.09</v>
      </c>
      <c r="N221" s="8">
        <f t="shared" si="31"/>
        <v>203067.09</v>
      </c>
      <c r="O221" s="8">
        <f t="shared" si="31"/>
        <v>203067.09</v>
      </c>
      <c r="P221" s="8">
        <f t="shared" si="31"/>
        <v>203067.09</v>
      </c>
      <c r="Q221" s="8">
        <f t="shared" si="31"/>
        <v>203067.09</v>
      </c>
      <c r="R221" s="8">
        <f t="shared" si="31"/>
        <v>203067.09</v>
      </c>
      <c r="S221" s="8">
        <f t="shared" si="31"/>
        <v>203067.09</v>
      </c>
      <c r="T221" s="8">
        <f t="shared" si="31"/>
        <v>203067.09</v>
      </c>
      <c r="U221" s="8">
        <f t="shared" si="31"/>
        <v>203067.09</v>
      </c>
      <c r="V221" s="8">
        <f t="shared" si="31"/>
        <v>203067.09</v>
      </c>
      <c r="W221" s="8">
        <f t="shared" si="31"/>
        <v>203067.09</v>
      </c>
      <c r="X221" s="8">
        <f t="shared" si="31"/>
        <v>203067.09</v>
      </c>
      <c r="Y221" s="8">
        <f t="shared" si="31"/>
        <v>203067.09</v>
      </c>
      <c r="Z221" s="8">
        <f t="shared" si="31"/>
        <v>203067.09</v>
      </c>
      <c r="AA221" s="65">
        <f t="shared" si="31"/>
        <v>203067.09</v>
      </c>
    </row>
    <row r="222" spans="2:27" x14ac:dyDescent="0.2">
      <c r="B222" s="63" t="s">
        <v>56</v>
      </c>
      <c r="C222" s="8">
        <f>C219+C220-C221</f>
        <v>59827.620000000898</v>
      </c>
      <c r="D222" s="8">
        <f t="shared" si="29"/>
        <v>59827.620000000898</v>
      </c>
      <c r="E222" s="8">
        <f t="shared" si="31"/>
        <v>59827.620000000898</v>
      </c>
      <c r="F222" s="8">
        <f t="shared" si="31"/>
        <v>59827.620000000898</v>
      </c>
      <c r="G222" s="8">
        <f t="shared" si="31"/>
        <v>59827.620000000898</v>
      </c>
      <c r="H222" s="8">
        <f t="shared" si="31"/>
        <v>59827.620000000898</v>
      </c>
      <c r="I222" s="8">
        <f t="shared" si="31"/>
        <v>59827.620000000898</v>
      </c>
      <c r="J222" s="8">
        <f t="shared" si="31"/>
        <v>59827.620000000898</v>
      </c>
      <c r="K222" s="8">
        <f t="shared" si="31"/>
        <v>59827.620000000898</v>
      </c>
      <c r="L222" s="8">
        <f t="shared" si="31"/>
        <v>59827.620000000898</v>
      </c>
      <c r="M222" s="8">
        <f t="shared" si="31"/>
        <v>59827.620000000898</v>
      </c>
      <c r="N222" s="8">
        <f t="shared" si="31"/>
        <v>59827.620000000898</v>
      </c>
      <c r="O222" s="8">
        <f t="shared" si="31"/>
        <v>59827.620000000898</v>
      </c>
      <c r="P222" s="8">
        <f t="shared" si="31"/>
        <v>59827.620000000898</v>
      </c>
      <c r="Q222" s="8">
        <f t="shared" si="31"/>
        <v>59827.620000000898</v>
      </c>
      <c r="R222" s="8">
        <f t="shared" si="31"/>
        <v>59827.620000000898</v>
      </c>
      <c r="S222" s="8">
        <f t="shared" si="31"/>
        <v>59827.620000000898</v>
      </c>
      <c r="T222" s="8">
        <f t="shared" si="31"/>
        <v>59827.620000000898</v>
      </c>
      <c r="U222" s="8">
        <f t="shared" si="31"/>
        <v>59827.620000000898</v>
      </c>
      <c r="V222" s="8">
        <f t="shared" si="31"/>
        <v>59827.620000000898</v>
      </c>
      <c r="W222" s="8">
        <f t="shared" si="31"/>
        <v>59827.620000000898</v>
      </c>
      <c r="X222" s="8">
        <f t="shared" si="31"/>
        <v>59827.620000000898</v>
      </c>
      <c r="Y222" s="8">
        <f t="shared" si="31"/>
        <v>59827.620000000898</v>
      </c>
      <c r="Z222" s="8">
        <f t="shared" si="31"/>
        <v>59827.620000000898</v>
      </c>
      <c r="AA222" s="65">
        <f t="shared" si="31"/>
        <v>59827.620000000898</v>
      </c>
    </row>
    <row r="223" spans="2:27" x14ac:dyDescent="0.2">
      <c r="B223" s="63" t="s">
        <v>57</v>
      </c>
      <c r="C223" s="8">
        <f>D101</f>
        <v>0</v>
      </c>
      <c r="D223" s="8">
        <f t="shared" si="29"/>
        <v>0</v>
      </c>
      <c r="E223" s="8">
        <f t="shared" si="31"/>
        <v>0</v>
      </c>
      <c r="F223" s="8">
        <f t="shared" si="31"/>
        <v>0</v>
      </c>
      <c r="G223" s="8">
        <f t="shared" si="31"/>
        <v>0</v>
      </c>
      <c r="H223" s="8">
        <f t="shared" si="31"/>
        <v>0</v>
      </c>
      <c r="I223" s="8">
        <f t="shared" si="31"/>
        <v>0</v>
      </c>
      <c r="J223" s="8">
        <f t="shared" si="31"/>
        <v>0</v>
      </c>
      <c r="K223" s="8">
        <f t="shared" si="31"/>
        <v>0</v>
      </c>
      <c r="L223" s="8">
        <f t="shared" si="31"/>
        <v>0</v>
      </c>
      <c r="M223" s="8">
        <f t="shared" si="31"/>
        <v>0</v>
      </c>
      <c r="N223" s="8">
        <f t="shared" si="31"/>
        <v>0</v>
      </c>
      <c r="O223" s="8">
        <f t="shared" si="31"/>
        <v>0</v>
      </c>
      <c r="P223" s="8">
        <f t="shared" si="31"/>
        <v>0</v>
      </c>
      <c r="Q223" s="8">
        <f t="shared" si="31"/>
        <v>0</v>
      </c>
      <c r="R223" s="8">
        <f t="shared" si="31"/>
        <v>0</v>
      </c>
      <c r="S223" s="8">
        <f t="shared" si="31"/>
        <v>0</v>
      </c>
      <c r="T223" s="8">
        <f t="shared" si="31"/>
        <v>0</v>
      </c>
      <c r="U223" s="8">
        <f t="shared" si="31"/>
        <v>0</v>
      </c>
      <c r="V223" s="8">
        <f t="shared" si="31"/>
        <v>0</v>
      </c>
      <c r="W223" s="8">
        <f t="shared" si="31"/>
        <v>0</v>
      </c>
      <c r="X223" s="8">
        <f t="shared" si="31"/>
        <v>0</v>
      </c>
      <c r="Y223" s="8">
        <f t="shared" si="31"/>
        <v>0</v>
      </c>
      <c r="Z223" s="8">
        <f t="shared" si="31"/>
        <v>0</v>
      </c>
      <c r="AA223" s="65">
        <f t="shared" si="31"/>
        <v>0</v>
      </c>
    </row>
    <row r="224" spans="2:27" x14ac:dyDescent="0.2">
      <c r="B224" s="63" t="s">
        <v>58</v>
      </c>
      <c r="C224" s="8">
        <f>C222+C223</f>
        <v>59827.620000000898</v>
      </c>
      <c r="D224" s="8">
        <f t="shared" si="29"/>
        <v>59827.620000000898</v>
      </c>
      <c r="E224" s="8">
        <f t="shared" si="31"/>
        <v>59827.620000000898</v>
      </c>
      <c r="F224" s="8">
        <f t="shared" si="31"/>
        <v>59827.620000000898</v>
      </c>
      <c r="G224" s="8">
        <f t="shared" si="31"/>
        <v>59827.620000000898</v>
      </c>
      <c r="H224" s="8">
        <f t="shared" si="31"/>
        <v>59827.620000000898</v>
      </c>
      <c r="I224" s="8">
        <f t="shared" si="31"/>
        <v>59827.620000000898</v>
      </c>
      <c r="J224" s="8">
        <f t="shared" si="31"/>
        <v>59827.620000000898</v>
      </c>
      <c r="K224" s="8">
        <f t="shared" si="31"/>
        <v>59827.620000000898</v>
      </c>
      <c r="L224" s="8">
        <f t="shared" si="31"/>
        <v>59827.620000000898</v>
      </c>
      <c r="M224" s="8">
        <f t="shared" si="31"/>
        <v>59827.620000000898</v>
      </c>
      <c r="N224" s="8">
        <f t="shared" si="31"/>
        <v>59827.620000000898</v>
      </c>
      <c r="O224" s="8">
        <f t="shared" si="31"/>
        <v>59827.620000000898</v>
      </c>
      <c r="P224" s="8">
        <f t="shared" si="31"/>
        <v>59827.620000000898</v>
      </c>
      <c r="Q224" s="8">
        <f t="shared" si="31"/>
        <v>59827.620000000898</v>
      </c>
      <c r="R224" s="8">
        <f t="shared" si="31"/>
        <v>59827.620000000898</v>
      </c>
      <c r="S224" s="8">
        <f t="shared" si="31"/>
        <v>59827.620000000898</v>
      </c>
      <c r="T224" s="8">
        <f t="shared" si="31"/>
        <v>59827.620000000898</v>
      </c>
      <c r="U224" s="8">
        <f t="shared" si="31"/>
        <v>59827.620000000898</v>
      </c>
      <c r="V224" s="8">
        <f t="shared" si="31"/>
        <v>59827.620000000898</v>
      </c>
      <c r="W224" s="8">
        <f t="shared" si="31"/>
        <v>59827.620000000898</v>
      </c>
      <c r="X224" s="8">
        <f t="shared" si="31"/>
        <v>59827.620000000898</v>
      </c>
      <c r="Y224" s="8">
        <f t="shared" si="31"/>
        <v>59827.620000000898</v>
      </c>
      <c r="Z224" s="8">
        <f t="shared" si="31"/>
        <v>59827.620000000898</v>
      </c>
      <c r="AA224" s="65">
        <f t="shared" si="31"/>
        <v>59827.620000000898</v>
      </c>
    </row>
    <row r="225" spans="1:27" x14ac:dyDescent="0.2">
      <c r="B225" s="63" t="s">
        <v>59</v>
      </c>
      <c r="C225" s="8">
        <f>D103</f>
        <v>0</v>
      </c>
      <c r="D225" s="8">
        <f t="shared" si="29"/>
        <v>0</v>
      </c>
      <c r="E225" s="8">
        <f t="shared" si="31"/>
        <v>0</v>
      </c>
      <c r="F225" s="8">
        <f t="shared" si="31"/>
        <v>0</v>
      </c>
      <c r="G225" s="8">
        <f t="shared" si="31"/>
        <v>0</v>
      </c>
      <c r="H225" s="8">
        <f t="shared" si="31"/>
        <v>0</v>
      </c>
      <c r="I225" s="8">
        <f t="shared" si="31"/>
        <v>0</v>
      </c>
      <c r="J225" s="8">
        <f t="shared" si="31"/>
        <v>0</v>
      </c>
      <c r="K225" s="8">
        <f t="shared" si="31"/>
        <v>0</v>
      </c>
      <c r="L225" s="8">
        <f t="shared" si="31"/>
        <v>0</v>
      </c>
      <c r="M225" s="8">
        <f t="shared" si="31"/>
        <v>0</v>
      </c>
      <c r="N225" s="8">
        <f t="shared" si="31"/>
        <v>0</v>
      </c>
      <c r="O225" s="8">
        <f t="shared" si="31"/>
        <v>0</v>
      </c>
      <c r="P225" s="8">
        <f t="shared" si="31"/>
        <v>0</v>
      </c>
      <c r="Q225" s="8">
        <f t="shared" si="31"/>
        <v>0</v>
      </c>
      <c r="R225" s="8">
        <f t="shared" si="31"/>
        <v>0</v>
      </c>
      <c r="S225" s="8">
        <f t="shared" si="31"/>
        <v>0</v>
      </c>
      <c r="T225" s="8">
        <f t="shared" si="31"/>
        <v>0</v>
      </c>
      <c r="U225" s="8">
        <f t="shared" si="31"/>
        <v>0</v>
      </c>
      <c r="V225" s="8">
        <f t="shared" si="31"/>
        <v>0</v>
      </c>
      <c r="W225" s="8">
        <f t="shared" si="31"/>
        <v>0</v>
      </c>
      <c r="X225" s="8">
        <f t="shared" si="31"/>
        <v>0</v>
      </c>
      <c r="Y225" s="8">
        <f t="shared" si="31"/>
        <v>0</v>
      </c>
      <c r="Z225" s="8">
        <f t="shared" si="31"/>
        <v>0</v>
      </c>
      <c r="AA225" s="65">
        <f t="shared" si="31"/>
        <v>0</v>
      </c>
    </row>
    <row r="226" spans="1:27" x14ac:dyDescent="0.2">
      <c r="B226" s="68" t="s">
        <v>60</v>
      </c>
      <c r="C226" s="8">
        <f>D104</f>
        <v>0</v>
      </c>
      <c r="D226" s="8">
        <f t="shared" si="29"/>
        <v>0</v>
      </c>
      <c r="E226" s="8">
        <f t="shared" si="31"/>
        <v>0</v>
      </c>
      <c r="F226" s="8">
        <f t="shared" si="31"/>
        <v>0</v>
      </c>
      <c r="G226" s="8">
        <f t="shared" si="31"/>
        <v>0</v>
      </c>
      <c r="H226" s="8">
        <f t="shared" si="31"/>
        <v>0</v>
      </c>
      <c r="I226" s="8">
        <f t="shared" si="31"/>
        <v>0</v>
      </c>
      <c r="J226" s="8">
        <f t="shared" si="31"/>
        <v>0</v>
      </c>
      <c r="K226" s="8">
        <f t="shared" si="31"/>
        <v>0</v>
      </c>
      <c r="L226" s="8">
        <f t="shared" si="31"/>
        <v>0</v>
      </c>
      <c r="M226" s="8">
        <f t="shared" si="31"/>
        <v>0</v>
      </c>
      <c r="N226" s="8">
        <f t="shared" si="31"/>
        <v>0</v>
      </c>
      <c r="O226" s="8">
        <f t="shared" si="31"/>
        <v>0</v>
      </c>
      <c r="P226" s="8">
        <f t="shared" si="31"/>
        <v>0</v>
      </c>
      <c r="Q226" s="8">
        <f t="shared" si="31"/>
        <v>0</v>
      </c>
      <c r="R226" s="8">
        <f t="shared" si="31"/>
        <v>0</v>
      </c>
      <c r="S226" s="8">
        <f t="shared" si="31"/>
        <v>0</v>
      </c>
      <c r="T226" s="8">
        <f t="shared" si="31"/>
        <v>0</v>
      </c>
      <c r="U226" s="8">
        <f t="shared" si="31"/>
        <v>0</v>
      </c>
      <c r="V226" s="8">
        <f t="shared" si="31"/>
        <v>0</v>
      </c>
      <c r="W226" s="8">
        <f t="shared" si="31"/>
        <v>0</v>
      </c>
      <c r="X226" s="8">
        <f t="shared" ref="E226:AA227" si="32">W226</f>
        <v>0</v>
      </c>
      <c r="Y226" s="8">
        <f t="shared" si="32"/>
        <v>0</v>
      </c>
      <c r="Z226" s="8">
        <f t="shared" si="32"/>
        <v>0</v>
      </c>
      <c r="AA226" s="65">
        <f t="shared" si="32"/>
        <v>0</v>
      </c>
    </row>
    <row r="227" spans="1:27" x14ac:dyDescent="0.2">
      <c r="B227" s="69" t="s">
        <v>61</v>
      </c>
      <c r="C227" s="70">
        <f>C224-C225</f>
        <v>59827.620000000898</v>
      </c>
      <c r="D227" s="70">
        <f t="shared" si="29"/>
        <v>59827.620000000898</v>
      </c>
      <c r="E227" s="70">
        <f t="shared" si="32"/>
        <v>59827.620000000898</v>
      </c>
      <c r="F227" s="70">
        <f t="shared" si="32"/>
        <v>59827.620000000898</v>
      </c>
      <c r="G227" s="70">
        <f t="shared" si="32"/>
        <v>59827.620000000898</v>
      </c>
      <c r="H227" s="70">
        <f t="shared" si="32"/>
        <v>59827.620000000898</v>
      </c>
      <c r="I227" s="70">
        <f t="shared" si="32"/>
        <v>59827.620000000898</v>
      </c>
      <c r="J227" s="70">
        <f t="shared" si="32"/>
        <v>59827.620000000898</v>
      </c>
      <c r="K227" s="70">
        <f t="shared" si="32"/>
        <v>59827.620000000898</v>
      </c>
      <c r="L227" s="70">
        <f t="shared" si="32"/>
        <v>59827.620000000898</v>
      </c>
      <c r="M227" s="70">
        <f t="shared" si="32"/>
        <v>59827.620000000898</v>
      </c>
      <c r="N227" s="70">
        <f t="shared" si="32"/>
        <v>59827.620000000898</v>
      </c>
      <c r="O227" s="70">
        <f t="shared" si="32"/>
        <v>59827.620000000898</v>
      </c>
      <c r="P227" s="70">
        <f t="shared" si="32"/>
        <v>59827.620000000898</v>
      </c>
      <c r="Q227" s="70">
        <f t="shared" si="32"/>
        <v>59827.620000000898</v>
      </c>
      <c r="R227" s="70">
        <f t="shared" si="32"/>
        <v>59827.620000000898</v>
      </c>
      <c r="S227" s="70">
        <f t="shared" si="32"/>
        <v>59827.620000000898</v>
      </c>
      <c r="T227" s="70">
        <f t="shared" si="32"/>
        <v>59827.620000000898</v>
      </c>
      <c r="U227" s="70">
        <f t="shared" si="32"/>
        <v>59827.620000000898</v>
      </c>
      <c r="V227" s="70">
        <f t="shared" si="32"/>
        <v>59827.620000000898</v>
      </c>
      <c r="W227" s="70">
        <f t="shared" si="32"/>
        <v>59827.620000000898</v>
      </c>
      <c r="X227" s="70">
        <f t="shared" si="32"/>
        <v>59827.620000000898</v>
      </c>
      <c r="Y227" s="70">
        <f t="shared" si="32"/>
        <v>59827.620000000898</v>
      </c>
      <c r="Z227" s="70">
        <f t="shared" si="32"/>
        <v>59827.620000000898</v>
      </c>
      <c r="AA227" s="71">
        <f t="shared" si="32"/>
        <v>59827.620000000898</v>
      </c>
    </row>
    <row r="231" spans="1:27" x14ac:dyDescent="0.2">
      <c r="A231" s="7" t="s">
        <v>226</v>
      </c>
      <c r="B231" s="7" t="s">
        <v>142</v>
      </c>
    </row>
    <row r="232" spans="1:27" x14ac:dyDescent="0.2">
      <c r="B232" s="10" t="s">
        <v>64</v>
      </c>
      <c r="C232" s="11">
        <f t="shared" ref="C232:AA232" si="33">C$160</f>
        <v>2016</v>
      </c>
      <c r="D232" s="11">
        <f t="shared" si="33"/>
        <v>2017</v>
      </c>
      <c r="E232" s="11">
        <f t="shared" si="33"/>
        <v>2018</v>
      </c>
      <c r="F232" s="11">
        <f t="shared" si="33"/>
        <v>2019</v>
      </c>
      <c r="G232" s="11">
        <f t="shared" si="33"/>
        <v>2020</v>
      </c>
      <c r="H232" s="11">
        <f t="shared" si="33"/>
        <v>2021</v>
      </c>
      <c r="I232" s="11">
        <f t="shared" si="33"/>
        <v>2022</v>
      </c>
      <c r="J232" s="11">
        <f t="shared" si="33"/>
        <v>2023</v>
      </c>
      <c r="K232" s="11">
        <f t="shared" si="33"/>
        <v>2024</v>
      </c>
      <c r="L232" s="11">
        <f t="shared" si="33"/>
        <v>2025</v>
      </c>
      <c r="M232" s="11">
        <f t="shared" si="33"/>
        <v>2026</v>
      </c>
      <c r="N232" s="11">
        <f t="shared" si="33"/>
        <v>2027</v>
      </c>
      <c r="O232" s="11">
        <f t="shared" si="33"/>
        <v>2028</v>
      </c>
      <c r="P232" s="11">
        <f t="shared" si="33"/>
        <v>2029</v>
      </c>
      <c r="Q232" s="11">
        <f t="shared" si="33"/>
        <v>2030</v>
      </c>
      <c r="R232" s="11">
        <f t="shared" si="33"/>
        <v>2031</v>
      </c>
      <c r="S232" s="11">
        <f t="shared" si="33"/>
        <v>2032</v>
      </c>
      <c r="T232" s="11">
        <f t="shared" si="33"/>
        <v>2033</v>
      </c>
      <c r="U232" s="11">
        <f t="shared" si="33"/>
        <v>2034</v>
      </c>
      <c r="V232" s="11">
        <f t="shared" si="33"/>
        <v>2035</v>
      </c>
      <c r="W232" s="11">
        <f t="shared" si="33"/>
        <v>2036</v>
      </c>
      <c r="X232" s="11">
        <f t="shared" si="33"/>
        <v>2037</v>
      </c>
      <c r="Y232" s="11">
        <f t="shared" si="33"/>
        <v>2038</v>
      </c>
      <c r="Z232" s="11">
        <f t="shared" si="33"/>
        <v>2039</v>
      </c>
      <c r="AA232" s="12">
        <f t="shared" si="33"/>
        <v>2040</v>
      </c>
    </row>
    <row r="233" spans="1:27" x14ac:dyDescent="0.2">
      <c r="B233" s="63" t="s">
        <v>37</v>
      </c>
      <c r="C233" s="106">
        <f>C203+C188</f>
        <v>18630971.550000001</v>
      </c>
      <c r="D233" s="106">
        <f t="shared" ref="D233:AA233" si="34">D203+D188</f>
        <v>18630971.550000001</v>
      </c>
      <c r="E233" s="106">
        <f t="shared" si="34"/>
        <v>18630971.550000001</v>
      </c>
      <c r="F233" s="106">
        <f t="shared" si="34"/>
        <v>18630971.550000001</v>
      </c>
      <c r="G233" s="106">
        <f t="shared" si="34"/>
        <v>18630971.550000001</v>
      </c>
      <c r="H233" s="106">
        <f t="shared" si="34"/>
        <v>18630971.550000001</v>
      </c>
      <c r="I233" s="106">
        <f t="shared" si="34"/>
        <v>18630971.550000001</v>
      </c>
      <c r="J233" s="106">
        <f t="shared" si="34"/>
        <v>18630971.550000001</v>
      </c>
      <c r="K233" s="106">
        <f t="shared" si="34"/>
        <v>18630971.550000001</v>
      </c>
      <c r="L233" s="106">
        <f t="shared" si="34"/>
        <v>18630971.550000001</v>
      </c>
      <c r="M233" s="106">
        <f t="shared" si="34"/>
        <v>18630971.550000001</v>
      </c>
      <c r="N233" s="106">
        <f t="shared" si="34"/>
        <v>18630971.550000001</v>
      </c>
      <c r="O233" s="106">
        <f t="shared" si="34"/>
        <v>18630971.550000001</v>
      </c>
      <c r="P233" s="106">
        <f t="shared" si="34"/>
        <v>18630971.550000001</v>
      </c>
      <c r="Q233" s="106">
        <f t="shared" si="34"/>
        <v>18630971.550000001</v>
      </c>
      <c r="R233" s="106">
        <f t="shared" si="34"/>
        <v>18630971.550000001</v>
      </c>
      <c r="S233" s="106">
        <f t="shared" si="34"/>
        <v>18630971.550000001</v>
      </c>
      <c r="T233" s="106">
        <f t="shared" si="34"/>
        <v>18630971.550000001</v>
      </c>
      <c r="U233" s="106">
        <f t="shared" si="34"/>
        <v>18630971.550000001</v>
      </c>
      <c r="V233" s="106">
        <f t="shared" si="34"/>
        <v>18630971.550000001</v>
      </c>
      <c r="W233" s="106">
        <f t="shared" si="34"/>
        <v>18630971.550000001</v>
      </c>
      <c r="X233" s="106">
        <f t="shared" si="34"/>
        <v>18630971.550000001</v>
      </c>
      <c r="Y233" s="106">
        <f t="shared" si="34"/>
        <v>18630971.550000001</v>
      </c>
      <c r="Z233" s="106">
        <f t="shared" si="34"/>
        <v>18630971.550000001</v>
      </c>
      <c r="AA233" s="102">
        <f t="shared" si="34"/>
        <v>18630971.550000001</v>
      </c>
    </row>
    <row r="234" spans="1:27" x14ac:dyDescent="0.2">
      <c r="B234" s="63" t="s">
        <v>38</v>
      </c>
      <c r="C234" s="8">
        <f>SUM(C235:C242)</f>
        <v>18596266.84</v>
      </c>
      <c r="D234" s="8">
        <f t="shared" ref="D234:AA234" si="35">SUM(D235:D242)</f>
        <v>18702279.77</v>
      </c>
      <c r="E234" s="8">
        <f t="shared" si="35"/>
        <v>18464853.170000002</v>
      </c>
      <c r="F234" s="8">
        <f t="shared" si="35"/>
        <v>18464853.170000002</v>
      </c>
      <c r="G234" s="8">
        <f t="shared" si="35"/>
        <v>18464853.170000002</v>
      </c>
      <c r="H234" s="8">
        <f t="shared" si="35"/>
        <v>18470153.82</v>
      </c>
      <c r="I234" s="8">
        <f t="shared" si="35"/>
        <v>18470153.82</v>
      </c>
      <c r="J234" s="8">
        <f t="shared" si="35"/>
        <v>18505361.239999998</v>
      </c>
      <c r="K234" s="8">
        <f t="shared" si="35"/>
        <v>18505361.239999998</v>
      </c>
      <c r="L234" s="8">
        <f t="shared" si="35"/>
        <v>18505361.239999998</v>
      </c>
      <c r="M234" s="8">
        <f t="shared" si="35"/>
        <v>18510661.879999999</v>
      </c>
      <c r="N234" s="8">
        <f t="shared" si="35"/>
        <v>18510661.879999999</v>
      </c>
      <c r="O234" s="8">
        <f t="shared" si="35"/>
        <v>18510661.879999999</v>
      </c>
      <c r="P234" s="8">
        <f t="shared" si="35"/>
        <v>18510661.879999999</v>
      </c>
      <c r="Q234" s="8">
        <f t="shared" si="35"/>
        <v>18510661.879999999</v>
      </c>
      <c r="R234" s="8">
        <f t="shared" si="35"/>
        <v>18515962.530000001</v>
      </c>
      <c r="S234" s="8">
        <f t="shared" si="35"/>
        <v>18515962.530000001</v>
      </c>
      <c r="T234" s="8">
        <f t="shared" si="35"/>
        <v>18515962.530000001</v>
      </c>
      <c r="U234" s="8">
        <f t="shared" si="35"/>
        <v>18515962.530000001</v>
      </c>
      <c r="V234" s="8">
        <f t="shared" si="35"/>
        <v>18515962.530000001</v>
      </c>
      <c r="W234" s="8">
        <f t="shared" si="35"/>
        <v>18521263.18</v>
      </c>
      <c r="X234" s="8">
        <f t="shared" si="35"/>
        <v>18521263.18</v>
      </c>
      <c r="Y234" s="8">
        <f t="shared" si="35"/>
        <v>18521263.18</v>
      </c>
      <c r="Z234" s="8">
        <f t="shared" si="35"/>
        <v>18521263.18</v>
      </c>
      <c r="AA234" s="65">
        <f t="shared" si="35"/>
        <v>18394047.66</v>
      </c>
    </row>
    <row r="235" spans="1:27" x14ac:dyDescent="0.2">
      <c r="B235" s="66" t="s">
        <v>39</v>
      </c>
      <c r="C235" s="107">
        <f>C205+C194</f>
        <v>2065713.28</v>
      </c>
      <c r="D235" s="107">
        <f t="shared" ref="D235:AA235" si="36">D205+D194</f>
        <v>2171726.21</v>
      </c>
      <c r="E235" s="107">
        <f t="shared" si="36"/>
        <v>2171726.21</v>
      </c>
      <c r="F235" s="107">
        <f t="shared" si="36"/>
        <v>2171726.21</v>
      </c>
      <c r="G235" s="107">
        <f t="shared" si="36"/>
        <v>2171726.21</v>
      </c>
      <c r="H235" s="107">
        <f t="shared" si="36"/>
        <v>2177026.86</v>
      </c>
      <c r="I235" s="107">
        <f t="shared" si="36"/>
        <v>2177026.86</v>
      </c>
      <c r="J235" s="107">
        <f t="shared" si="36"/>
        <v>2177026.86</v>
      </c>
      <c r="K235" s="107">
        <f t="shared" si="36"/>
        <v>2177026.86</v>
      </c>
      <c r="L235" s="107">
        <f t="shared" si="36"/>
        <v>2177026.86</v>
      </c>
      <c r="M235" s="107">
        <f t="shared" si="36"/>
        <v>2182327.5</v>
      </c>
      <c r="N235" s="107">
        <f t="shared" si="36"/>
        <v>2182327.5</v>
      </c>
      <c r="O235" s="107">
        <f t="shared" si="36"/>
        <v>2182327.5</v>
      </c>
      <c r="P235" s="107">
        <f t="shared" si="36"/>
        <v>2182327.5</v>
      </c>
      <c r="Q235" s="107">
        <f t="shared" si="36"/>
        <v>2182327.5</v>
      </c>
      <c r="R235" s="107">
        <f t="shared" si="36"/>
        <v>2187628.15</v>
      </c>
      <c r="S235" s="107">
        <f t="shared" si="36"/>
        <v>2187628.15</v>
      </c>
      <c r="T235" s="107">
        <f t="shared" si="36"/>
        <v>2187628.15</v>
      </c>
      <c r="U235" s="107">
        <f t="shared" si="36"/>
        <v>2187628.15</v>
      </c>
      <c r="V235" s="107">
        <f t="shared" si="36"/>
        <v>2187628.15</v>
      </c>
      <c r="W235" s="107">
        <f t="shared" si="36"/>
        <v>2192928.7999999998</v>
      </c>
      <c r="X235" s="107">
        <f t="shared" si="36"/>
        <v>2192928.7999999998</v>
      </c>
      <c r="Y235" s="107">
        <f t="shared" si="36"/>
        <v>2192928.7999999998</v>
      </c>
      <c r="Z235" s="107">
        <f t="shared" si="36"/>
        <v>2192928.7999999998</v>
      </c>
      <c r="AA235" s="109">
        <f t="shared" si="36"/>
        <v>2065713.28</v>
      </c>
    </row>
    <row r="236" spans="1:27" x14ac:dyDescent="0.2">
      <c r="B236" s="66" t="s">
        <v>40</v>
      </c>
      <c r="C236" s="107">
        <f>C206+C195</f>
        <v>1554787.94</v>
      </c>
      <c r="D236" s="107">
        <f t="shared" ref="D236:AA236" si="37">D206+D195</f>
        <v>1554787.94</v>
      </c>
      <c r="E236" s="107">
        <f t="shared" si="37"/>
        <v>1317361.3399999999</v>
      </c>
      <c r="F236" s="107">
        <f t="shared" si="37"/>
        <v>1317361.3399999999</v>
      </c>
      <c r="G236" s="107">
        <f t="shared" si="37"/>
        <v>1317361.3399999999</v>
      </c>
      <c r="H236" s="107">
        <f t="shared" si="37"/>
        <v>1317361.3399999999</v>
      </c>
      <c r="I236" s="107">
        <f t="shared" si="37"/>
        <v>1317361.3399999999</v>
      </c>
      <c r="J236" s="107">
        <f t="shared" si="37"/>
        <v>1317361.3399999999</v>
      </c>
      <c r="K236" s="107">
        <f t="shared" si="37"/>
        <v>1317361.3399999999</v>
      </c>
      <c r="L236" s="107">
        <f t="shared" si="37"/>
        <v>1317361.3399999999</v>
      </c>
      <c r="M236" s="107">
        <f t="shared" si="37"/>
        <v>1317361.3399999999</v>
      </c>
      <c r="N236" s="107">
        <f t="shared" si="37"/>
        <v>1317361.3399999999</v>
      </c>
      <c r="O236" s="107">
        <f t="shared" si="37"/>
        <v>1317361.3399999999</v>
      </c>
      <c r="P236" s="107">
        <f t="shared" si="37"/>
        <v>1317361.3399999999</v>
      </c>
      <c r="Q236" s="107">
        <f t="shared" si="37"/>
        <v>1317361.3399999999</v>
      </c>
      <c r="R236" s="107">
        <f t="shared" si="37"/>
        <v>1317361.3399999999</v>
      </c>
      <c r="S236" s="107">
        <f t="shared" si="37"/>
        <v>1317361.3399999999</v>
      </c>
      <c r="T236" s="107">
        <f t="shared" si="37"/>
        <v>1317361.3399999999</v>
      </c>
      <c r="U236" s="107">
        <f t="shared" si="37"/>
        <v>1317361.3399999999</v>
      </c>
      <c r="V236" s="107">
        <f t="shared" si="37"/>
        <v>1317361.3399999999</v>
      </c>
      <c r="W236" s="107">
        <f t="shared" si="37"/>
        <v>1317361.3399999999</v>
      </c>
      <c r="X236" s="107">
        <f t="shared" si="37"/>
        <v>1317361.3399999999</v>
      </c>
      <c r="Y236" s="107">
        <f t="shared" si="37"/>
        <v>1317361.3399999999</v>
      </c>
      <c r="Z236" s="107">
        <f t="shared" si="37"/>
        <v>1317361.3399999999</v>
      </c>
      <c r="AA236" s="109">
        <f t="shared" si="37"/>
        <v>1317361.3399999999</v>
      </c>
    </row>
    <row r="237" spans="1:27" x14ac:dyDescent="0.2">
      <c r="B237" s="66" t="s">
        <v>41</v>
      </c>
      <c r="C237" s="107">
        <f>C207+C196</f>
        <v>1600485.78</v>
      </c>
      <c r="D237" s="107">
        <f t="shared" ref="D237:AA237" si="38">D207+D196</f>
        <v>1600485.78</v>
      </c>
      <c r="E237" s="107">
        <f t="shared" si="38"/>
        <v>1600485.78</v>
      </c>
      <c r="F237" s="107">
        <f t="shared" si="38"/>
        <v>1600485.78</v>
      </c>
      <c r="G237" s="107">
        <f t="shared" si="38"/>
        <v>1600485.78</v>
      </c>
      <c r="H237" s="107">
        <f t="shared" si="38"/>
        <v>1600485.78</v>
      </c>
      <c r="I237" s="107">
        <f t="shared" si="38"/>
        <v>1600485.78</v>
      </c>
      <c r="J237" s="107">
        <f t="shared" si="38"/>
        <v>1635693.2</v>
      </c>
      <c r="K237" s="107">
        <f t="shared" si="38"/>
        <v>1635693.2</v>
      </c>
      <c r="L237" s="107">
        <f t="shared" si="38"/>
        <v>1635693.2</v>
      </c>
      <c r="M237" s="107">
        <f t="shared" si="38"/>
        <v>1635693.2</v>
      </c>
      <c r="N237" s="107">
        <f t="shared" si="38"/>
        <v>1635693.2</v>
      </c>
      <c r="O237" s="107">
        <f t="shared" si="38"/>
        <v>1635693.2</v>
      </c>
      <c r="P237" s="107">
        <f t="shared" si="38"/>
        <v>1635693.2</v>
      </c>
      <c r="Q237" s="107">
        <f t="shared" si="38"/>
        <v>1635693.2</v>
      </c>
      <c r="R237" s="107">
        <f t="shared" si="38"/>
        <v>1635693.2</v>
      </c>
      <c r="S237" s="107">
        <f t="shared" si="38"/>
        <v>1635693.2</v>
      </c>
      <c r="T237" s="107">
        <f t="shared" si="38"/>
        <v>1635693.2</v>
      </c>
      <c r="U237" s="107">
        <f t="shared" si="38"/>
        <v>1635693.2</v>
      </c>
      <c r="V237" s="107">
        <f t="shared" si="38"/>
        <v>1635693.2</v>
      </c>
      <c r="W237" s="107">
        <f t="shared" si="38"/>
        <v>1635693.2</v>
      </c>
      <c r="X237" s="107">
        <f t="shared" si="38"/>
        <v>1635693.2</v>
      </c>
      <c r="Y237" s="107">
        <f t="shared" si="38"/>
        <v>1635693.2</v>
      </c>
      <c r="Z237" s="107">
        <f t="shared" si="38"/>
        <v>1635693.2</v>
      </c>
      <c r="AA237" s="109">
        <f t="shared" si="38"/>
        <v>1635693.2</v>
      </c>
    </row>
    <row r="238" spans="1:27" x14ac:dyDescent="0.2">
      <c r="B238" s="66" t="s">
        <v>42</v>
      </c>
      <c r="C238" s="9">
        <f t="shared" ref="C238:R242" si="39">C208</f>
        <v>813156.71</v>
      </c>
      <c r="D238" s="9">
        <f t="shared" si="39"/>
        <v>813156.71</v>
      </c>
      <c r="E238" s="9">
        <f t="shared" si="39"/>
        <v>813156.71</v>
      </c>
      <c r="F238" s="9">
        <f t="shared" si="39"/>
        <v>813156.71</v>
      </c>
      <c r="G238" s="9">
        <f t="shared" si="39"/>
        <v>813156.71</v>
      </c>
      <c r="H238" s="9">
        <f t="shared" si="39"/>
        <v>813156.71</v>
      </c>
      <c r="I238" s="9">
        <f t="shared" si="39"/>
        <v>813156.71</v>
      </c>
      <c r="J238" s="9">
        <f t="shared" si="39"/>
        <v>813156.71</v>
      </c>
      <c r="K238" s="9">
        <f t="shared" si="39"/>
        <v>813156.71</v>
      </c>
      <c r="L238" s="9">
        <f t="shared" si="39"/>
        <v>813156.71</v>
      </c>
      <c r="M238" s="9">
        <f t="shared" si="39"/>
        <v>813156.71</v>
      </c>
      <c r="N238" s="9">
        <f t="shared" si="39"/>
        <v>813156.71</v>
      </c>
      <c r="O238" s="9">
        <f t="shared" si="39"/>
        <v>813156.71</v>
      </c>
      <c r="P238" s="9">
        <f t="shared" si="39"/>
        <v>813156.71</v>
      </c>
      <c r="Q238" s="9">
        <f t="shared" si="39"/>
        <v>813156.71</v>
      </c>
      <c r="R238" s="9">
        <f t="shared" si="39"/>
        <v>813156.71</v>
      </c>
      <c r="S238" s="9">
        <f t="shared" ref="D238:AA242" si="40">S208</f>
        <v>813156.71</v>
      </c>
      <c r="T238" s="9">
        <f t="shared" si="40"/>
        <v>813156.71</v>
      </c>
      <c r="U238" s="9">
        <f t="shared" si="40"/>
        <v>813156.71</v>
      </c>
      <c r="V238" s="9">
        <f t="shared" si="40"/>
        <v>813156.71</v>
      </c>
      <c r="W238" s="9">
        <f t="shared" si="40"/>
        <v>813156.71</v>
      </c>
      <c r="X238" s="9">
        <f t="shared" si="40"/>
        <v>813156.71</v>
      </c>
      <c r="Y238" s="9">
        <f t="shared" si="40"/>
        <v>813156.71</v>
      </c>
      <c r="Z238" s="9">
        <f t="shared" si="40"/>
        <v>813156.71</v>
      </c>
      <c r="AA238" s="67">
        <f t="shared" si="40"/>
        <v>813156.71</v>
      </c>
    </row>
    <row r="239" spans="1:27" x14ac:dyDescent="0.2">
      <c r="B239" s="66" t="s">
        <v>43</v>
      </c>
      <c r="C239" s="9">
        <f t="shared" si="39"/>
        <v>7019749.1299999999</v>
      </c>
      <c r="D239" s="9">
        <f t="shared" si="40"/>
        <v>7019749.1299999999</v>
      </c>
      <c r="E239" s="9">
        <f t="shared" si="40"/>
        <v>7019749.1299999999</v>
      </c>
      <c r="F239" s="9">
        <f t="shared" si="40"/>
        <v>7019749.1299999999</v>
      </c>
      <c r="G239" s="9">
        <f t="shared" si="40"/>
        <v>7019749.1299999999</v>
      </c>
      <c r="H239" s="9">
        <f t="shared" si="40"/>
        <v>7019749.1299999999</v>
      </c>
      <c r="I239" s="9">
        <f t="shared" si="40"/>
        <v>7019749.1299999999</v>
      </c>
      <c r="J239" s="9">
        <f t="shared" si="40"/>
        <v>7019749.1299999999</v>
      </c>
      <c r="K239" s="9">
        <f t="shared" si="40"/>
        <v>7019749.1299999999</v>
      </c>
      <c r="L239" s="9">
        <f t="shared" si="40"/>
        <v>7019749.1299999999</v>
      </c>
      <c r="M239" s="9">
        <f t="shared" si="40"/>
        <v>7019749.1299999999</v>
      </c>
      <c r="N239" s="9">
        <f t="shared" si="40"/>
        <v>7019749.1299999999</v>
      </c>
      <c r="O239" s="9">
        <f t="shared" si="40"/>
        <v>7019749.1299999999</v>
      </c>
      <c r="P239" s="9">
        <f t="shared" si="40"/>
        <v>7019749.1299999999</v>
      </c>
      <c r="Q239" s="9">
        <f t="shared" si="40"/>
        <v>7019749.1299999999</v>
      </c>
      <c r="R239" s="9">
        <f t="shared" si="40"/>
        <v>7019749.1299999999</v>
      </c>
      <c r="S239" s="9">
        <f t="shared" si="40"/>
        <v>7019749.1299999999</v>
      </c>
      <c r="T239" s="9">
        <f t="shared" si="40"/>
        <v>7019749.1299999999</v>
      </c>
      <c r="U239" s="9">
        <f t="shared" si="40"/>
        <v>7019749.1299999999</v>
      </c>
      <c r="V239" s="9">
        <f t="shared" si="40"/>
        <v>7019749.1299999999</v>
      </c>
      <c r="W239" s="9">
        <f t="shared" si="40"/>
        <v>7019749.1299999999</v>
      </c>
      <c r="X239" s="9">
        <f t="shared" si="40"/>
        <v>7019749.1299999999</v>
      </c>
      <c r="Y239" s="9">
        <f t="shared" si="40"/>
        <v>7019749.1299999999</v>
      </c>
      <c r="Z239" s="9">
        <f t="shared" si="40"/>
        <v>7019749.1299999999</v>
      </c>
      <c r="AA239" s="67">
        <f t="shared" si="40"/>
        <v>7019749.1299999999</v>
      </c>
    </row>
    <row r="240" spans="1:27" x14ac:dyDescent="0.2">
      <c r="B240" s="66" t="s">
        <v>44</v>
      </c>
      <c r="C240" s="9">
        <f t="shared" si="39"/>
        <v>1922108.56</v>
      </c>
      <c r="D240" s="9">
        <f t="shared" si="40"/>
        <v>1922108.56</v>
      </c>
      <c r="E240" s="9">
        <f t="shared" si="40"/>
        <v>1922108.56</v>
      </c>
      <c r="F240" s="9">
        <f t="shared" si="40"/>
        <v>1922108.56</v>
      </c>
      <c r="G240" s="9">
        <f t="shared" si="40"/>
        <v>1922108.56</v>
      </c>
      <c r="H240" s="9">
        <f t="shared" si="40"/>
        <v>1922108.56</v>
      </c>
      <c r="I240" s="9">
        <f t="shared" si="40"/>
        <v>1922108.56</v>
      </c>
      <c r="J240" s="9">
        <f t="shared" si="40"/>
        <v>1922108.56</v>
      </c>
      <c r="K240" s="9">
        <f t="shared" si="40"/>
        <v>1922108.56</v>
      </c>
      <c r="L240" s="9">
        <f t="shared" si="40"/>
        <v>1922108.56</v>
      </c>
      <c r="M240" s="9">
        <f t="shared" si="40"/>
        <v>1922108.56</v>
      </c>
      <c r="N240" s="9">
        <f t="shared" si="40"/>
        <v>1922108.56</v>
      </c>
      <c r="O240" s="9">
        <f t="shared" si="40"/>
        <v>1922108.56</v>
      </c>
      <c r="P240" s="9">
        <f t="shared" si="40"/>
        <v>1922108.56</v>
      </c>
      <c r="Q240" s="9">
        <f t="shared" si="40"/>
        <v>1922108.56</v>
      </c>
      <c r="R240" s="9">
        <f t="shared" si="40"/>
        <v>1922108.56</v>
      </c>
      <c r="S240" s="9">
        <f t="shared" si="40"/>
        <v>1922108.56</v>
      </c>
      <c r="T240" s="9">
        <f t="shared" si="40"/>
        <v>1922108.56</v>
      </c>
      <c r="U240" s="9">
        <f t="shared" si="40"/>
        <v>1922108.56</v>
      </c>
      <c r="V240" s="9">
        <f t="shared" si="40"/>
        <v>1922108.56</v>
      </c>
      <c r="W240" s="9">
        <f t="shared" si="40"/>
        <v>1922108.56</v>
      </c>
      <c r="X240" s="9">
        <f t="shared" si="40"/>
        <v>1922108.56</v>
      </c>
      <c r="Y240" s="9">
        <f t="shared" si="40"/>
        <v>1922108.56</v>
      </c>
      <c r="Z240" s="9">
        <f t="shared" si="40"/>
        <v>1922108.56</v>
      </c>
      <c r="AA240" s="67">
        <f t="shared" si="40"/>
        <v>1922108.56</v>
      </c>
    </row>
    <row r="241" spans="2:27" x14ac:dyDescent="0.2">
      <c r="B241" s="66" t="s">
        <v>45</v>
      </c>
      <c r="C241" s="9">
        <f t="shared" si="39"/>
        <v>783520.13</v>
      </c>
      <c r="D241" s="9">
        <f t="shared" si="40"/>
        <v>783520.13</v>
      </c>
      <c r="E241" s="9">
        <f t="shared" si="40"/>
        <v>783520.13</v>
      </c>
      <c r="F241" s="9">
        <f t="shared" si="40"/>
        <v>783520.13</v>
      </c>
      <c r="G241" s="9">
        <f t="shared" si="40"/>
        <v>783520.13</v>
      </c>
      <c r="H241" s="9">
        <f t="shared" si="40"/>
        <v>783520.13</v>
      </c>
      <c r="I241" s="9">
        <f t="shared" si="40"/>
        <v>783520.13</v>
      </c>
      <c r="J241" s="9">
        <f t="shared" si="40"/>
        <v>783520.13</v>
      </c>
      <c r="K241" s="9">
        <f t="shared" si="40"/>
        <v>783520.13</v>
      </c>
      <c r="L241" s="9">
        <f t="shared" si="40"/>
        <v>783520.13</v>
      </c>
      <c r="M241" s="9">
        <f t="shared" si="40"/>
        <v>783520.13</v>
      </c>
      <c r="N241" s="9">
        <f t="shared" si="40"/>
        <v>783520.13</v>
      </c>
      <c r="O241" s="9">
        <f t="shared" si="40"/>
        <v>783520.13</v>
      </c>
      <c r="P241" s="9">
        <f t="shared" si="40"/>
        <v>783520.13</v>
      </c>
      <c r="Q241" s="9">
        <f t="shared" si="40"/>
        <v>783520.13</v>
      </c>
      <c r="R241" s="9">
        <f t="shared" si="40"/>
        <v>783520.13</v>
      </c>
      <c r="S241" s="9">
        <f t="shared" si="40"/>
        <v>783520.13</v>
      </c>
      <c r="T241" s="9">
        <f t="shared" si="40"/>
        <v>783520.13</v>
      </c>
      <c r="U241" s="9">
        <f t="shared" si="40"/>
        <v>783520.13</v>
      </c>
      <c r="V241" s="9">
        <f t="shared" si="40"/>
        <v>783520.13</v>
      </c>
      <c r="W241" s="9">
        <f t="shared" si="40"/>
        <v>783520.13</v>
      </c>
      <c r="X241" s="9">
        <f t="shared" si="40"/>
        <v>783520.13</v>
      </c>
      <c r="Y241" s="9">
        <f t="shared" si="40"/>
        <v>783520.13</v>
      </c>
      <c r="Z241" s="9">
        <f t="shared" si="40"/>
        <v>783520.13</v>
      </c>
      <c r="AA241" s="67">
        <f t="shared" si="40"/>
        <v>783520.13</v>
      </c>
    </row>
    <row r="242" spans="2:27" x14ac:dyDescent="0.2">
      <c r="B242" s="66" t="s">
        <v>46</v>
      </c>
      <c r="C242" s="9">
        <f t="shared" si="39"/>
        <v>2836745.31</v>
      </c>
      <c r="D242" s="9">
        <f t="shared" si="40"/>
        <v>2836745.31</v>
      </c>
      <c r="E242" s="9">
        <f t="shared" si="40"/>
        <v>2836745.31</v>
      </c>
      <c r="F242" s="9">
        <f t="shared" si="40"/>
        <v>2836745.31</v>
      </c>
      <c r="G242" s="9">
        <f t="shared" si="40"/>
        <v>2836745.31</v>
      </c>
      <c r="H242" s="9">
        <f t="shared" si="40"/>
        <v>2836745.31</v>
      </c>
      <c r="I242" s="9">
        <f t="shared" si="40"/>
        <v>2836745.31</v>
      </c>
      <c r="J242" s="9">
        <f t="shared" si="40"/>
        <v>2836745.31</v>
      </c>
      <c r="K242" s="9">
        <f t="shared" si="40"/>
        <v>2836745.31</v>
      </c>
      <c r="L242" s="9">
        <f t="shared" si="40"/>
        <v>2836745.31</v>
      </c>
      <c r="M242" s="9">
        <f t="shared" si="40"/>
        <v>2836745.31</v>
      </c>
      <c r="N242" s="9">
        <f t="shared" si="40"/>
        <v>2836745.31</v>
      </c>
      <c r="O242" s="9">
        <f t="shared" si="40"/>
        <v>2836745.31</v>
      </c>
      <c r="P242" s="9">
        <f t="shared" si="40"/>
        <v>2836745.31</v>
      </c>
      <c r="Q242" s="9">
        <f t="shared" si="40"/>
        <v>2836745.31</v>
      </c>
      <c r="R242" s="9">
        <f t="shared" si="40"/>
        <v>2836745.31</v>
      </c>
      <c r="S242" s="9">
        <f t="shared" si="40"/>
        <v>2836745.31</v>
      </c>
      <c r="T242" s="9">
        <f t="shared" si="40"/>
        <v>2836745.31</v>
      </c>
      <c r="U242" s="9">
        <f t="shared" si="40"/>
        <v>2836745.31</v>
      </c>
      <c r="V242" s="9">
        <f t="shared" si="40"/>
        <v>2836745.31</v>
      </c>
      <c r="W242" s="9">
        <f t="shared" si="40"/>
        <v>2836745.31</v>
      </c>
      <c r="X242" s="9">
        <f t="shared" si="40"/>
        <v>2836745.31</v>
      </c>
      <c r="Y242" s="9">
        <f t="shared" si="40"/>
        <v>2836745.31</v>
      </c>
      <c r="Z242" s="9">
        <f t="shared" si="40"/>
        <v>2836745.31</v>
      </c>
      <c r="AA242" s="67">
        <f t="shared" si="40"/>
        <v>2836745.31</v>
      </c>
    </row>
    <row r="243" spans="2:27" x14ac:dyDescent="0.2">
      <c r="B243" s="63" t="s">
        <v>47</v>
      </c>
      <c r="C243" s="8">
        <f t="shared" ref="C243" si="41">C233-C234</f>
        <v>34704.710000000894</v>
      </c>
      <c r="D243" s="8">
        <f t="shared" ref="D243:AA243" si="42">D233-D234</f>
        <v>-71308.219999998808</v>
      </c>
      <c r="E243" s="8">
        <f t="shared" si="42"/>
        <v>166118.37999999896</v>
      </c>
      <c r="F243" s="8">
        <f t="shared" si="42"/>
        <v>166118.37999999896</v>
      </c>
      <c r="G243" s="8">
        <f t="shared" si="42"/>
        <v>166118.37999999896</v>
      </c>
      <c r="H243" s="8">
        <f t="shared" si="42"/>
        <v>160817.73000000045</v>
      </c>
      <c r="I243" s="8">
        <f t="shared" si="42"/>
        <v>160817.73000000045</v>
      </c>
      <c r="J243" s="8">
        <f t="shared" si="42"/>
        <v>125610.31000000238</v>
      </c>
      <c r="K243" s="8">
        <f t="shared" si="42"/>
        <v>125610.31000000238</v>
      </c>
      <c r="L243" s="8">
        <f t="shared" si="42"/>
        <v>125610.31000000238</v>
      </c>
      <c r="M243" s="8">
        <f t="shared" si="42"/>
        <v>120309.67000000179</v>
      </c>
      <c r="N243" s="8">
        <f t="shared" si="42"/>
        <v>120309.67000000179</v>
      </c>
      <c r="O243" s="8">
        <f t="shared" si="42"/>
        <v>120309.67000000179</v>
      </c>
      <c r="P243" s="8">
        <f t="shared" si="42"/>
        <v>120309.67000000179</v>
      </c>
      <c r="Q243" s="8">
        <f t="shared" si="42"/>
        <v>120309.67000000179</v>
      </c>
      <c r="R243" s="8">
        <f t="shared" si="42"/>
        <v>115009.01999999955</v>
      </c>
      <c r="S243" s="8">
        <f t="shared" si="42"/>
        <v>115009.01999999955</v>
      </c>
      <c r="T243" s="8">
        <f t="shared" si="42"/>
        <v>115009.01999999955</v>
      </c>
      <c r="U243" s="8">
        <f t="shared" si="42"/>
        <v>115009.01999999955</v>
      </c>
      <c r="V243" s="8">
        <f t="shared" si="42"/>
        <v>115009.01999999955</v>
      </c>
      <c r="W243" s="8">
        <f t="shared" si="42"/>
        <v>109708.37000000104</v>
      </c>
      <c r="X243" s="8">
        <f t="shared" si="42"/>
        <v>109708.37000000104</v>
      </c>
      <c r="Y243" s="8">
        <f t="shared" si="42"/>
        <v>109708.37000000104</v>
      </c>
      <c r="Z243" s="8">
        <f t="shared" si="42"/>
        <v>109708.37000000104</v>
      </c>
      <c r="AA243" s="65">
        <f t="shared" si="42"/>
        <v>236923.8900000006</v>
      </c>
    </row>
    <row r="244" spans="2:27" x14ac:dyDescent="0.2">
      <c r="B244" s="63" t="s">
        <v>48</v>
      </c>
      <c r="C244" s="8">
        <f>SUM(C245:C247)</f>
        <v>220598.99</v>
      </c>
      <c r="D244" s="8">
        <f t="shared" ref="D244:AA244" si="43">SUM(D245:D247)</f>
        <v>220598.99</v>
      </c>
      <c r="E244" s="8">
        <f t="shared" si="43"/>
        <v>278717.52999999997</v>
      </c>
      <c r="F244" s="8">
        <f t="shared" si="43"/>
        <v>278717.52999999997</v>
      </c>
      <c r="G244" s="8">
        <f t="shared" si="43"/>
        <v>278717.52999999997</v>
      </c>
      <c r="H244" s="8">
        <f t="shared" si="43"/>
        <v>278717.52999999997</v>
      </c>
      <c r="I244" s="8">
        <f t="shared" si="43"/>
        <v>278717.52999999997</v>
      </c>
      <c r="J244" s="8">
        <f t="shared" si="43"/>
        <v>278717.52999999997</v>
      </c>
      <c r="K244" s="8">
        <f t="shared" si="43"/>
        <v>278717.52999999997</v>
      </c>
      <c r="L244" s="8">
        <f t="shared" si="43"/>
        <v>278717.52999999997</v>
      </c>
      <c r="M244" s="8">
        <f t="shared" si="43"/>
        <v>278717.52999999997</v>
      </c>
      <c r="N244" s="8">
        <f t="shared" si="43"/>
        <v>278717.52999999997</v>
      </c>
      <c r="O244" s="8">
        <f t="shared" si="43"/>
        <v>278717.52999999997</v>
      </c>
      <c r="P244" s="8">
        <f t="shared" si="43"/>
        <v>278717.52999999997</v>
      </c>
      <c r="Q244" s="8">
        <f t="shared" si="43"/>
        <v>278717.52999999997</v>
      </c>
      <c r="R244" s="8">
        <f t="shared" si="43"/>
        <v>278717.52999999997</v>
      </c>
      <c r="S244" s="8">
        <f t="shared" si="43"/>
        <v>278717.52999999997</v>
      </c>
      <c r="T244" s="8">
        <f t="shared" si="43"/>
        <v>278717.52999999997</v>
      </c>
      <c r="U244" s="8">
        <f t="shared" si="43"/>
        <v>278717.52999999997</v>
      </c>
      <c r="V244" s="8">
        <f t="shared" si="43"/>
        <v>278717.52999999997</v>
      </c>
      <c r="W244" s="8">
        <f t="shared" si="43"/>
        <v>278717.52999999997</v>
      </c>
      <c r="X244" s="8">
        <f t="shared" si="43"/>
        <v>278717.52999999997</v>
      </c>
      <c r="Y244" s="8">
        <f t="shared" si="43"/>
        <v>278717.52999999997</v>
      </c>
      <c r="Z244" s="8">
        <f t="shared" si="43"/>
        <v>278717.52999999997</v>
      </c>
      <c r="AA244" s="65">
        <f t="shared" si="43"/>
        <v>278717.52999999997</v>
      </c>
    </row>
    <row r="245" spans="2:27" x14ac:dyDescent="0.2">
      <c r="B245" s="66" t="s">
        <v>49</v>
      </c>
      <c r="C245" s="9">
        <f t="shared" ref="C245:R256" si="44">C215</f>
        <v>0</v>
      </c>
      <c r="D245" s="9">
        <f t="shared" si="44"/>
        <v>0</v>
      </c>
      <c r="E245" s="9">
        <f t="shared" si="44"/>
        <v>0</v>
      </c>
      <c r="F245" s="9">
        <f t="shared" si="44"/>
        <v>0</v>
      </c>
      <c r="G245" s="9">
        <f t="shared" si="44"/>
        <v>0</v>
      </c>
      <c r="H245" s="9">
        <f t="shared" si="44"/>
        <v>0</v>
      </c>
      <c r="I245" s="9">
        <f t="shared" si="44"/>
        <v>0</v>
      </c>
      <c r="J245" s="9">
        <f t="shared" si="44"/>
        <v>0</v>
      </c>
      <c r="K245" s="9">
        <f t="shared" si="44"/>
        <v>0</v>
      </c>
      <c r="L245" s="9">
        <f t="shared" si="44"/>
        <v>0</v>
      </c>
      <c r="M245" s="9">
        <f t="shared" si="44"/>
        <v>0</v>
      </c>
      <c r="N245" s="9">
        <f t="shared" si="44"/>
        <v>0</v>
      </c>
      <c r="O245" s="9">
        <f t="shared" si="44"/>
        <v>0</v>
      </c>
      <c r="P245" s="9">
        <f t="shared" si="44"/>
        <v>0</v>
      </c>
      <c r="Q245" s="9">
        <f t="shared" si="44"/>
        <v>0</v>
      </c>
      <c r="R245" s="9">
        <f t="shared" si="44"/>
        <v>0</v>
      </c>
      <c r="S245" s="9">
        <f t="shared" ref="D245:AA256" si="45">S215</f>
        <v>0</v>
      </c>
      <c r="T245" s="9">
        <f t="shared" si="45"/>
        <v>0</v>
      </c>
      <c r="U245" s="9">
        <f t="shared" si="45"/>
        <v>0</v>
      </c>
      <c r="V245" s="9">
        <f t="shared" si="45"/>
        <v>0</v>
      </c>
      <c r="W245" s="9">
        <f t="shared" si="45"/>
        <v>0</v>
      </c>
      <c r="X245" s="9">
        <f t="shared" si="45"/>
        <v>0</v>
      </c>
      <c r="Y245" s="9">
        <f t="shared" si="45"/>
        <v>0</v>
      </c>
      <c r="Z245" s="9">
        <f t="shared" si="45"/>
        <v>0</v>
      </c>
      <c r="AA245" s="67">
        <f t="shared" si="45"/>
        <v>0</v>
      </c>
    </row>
    <row r="246" spans="2:27" x14ac:dyDescent="0.2">
      <c r="B246" s="66" t="s">
        <v>50</v>
      </c>
      <c r="C246" s="107">
        <f>C216+C182</f>
        <v>0</v>
      </c>
      <c r="D246" s="107">
        <f t="shared" ref="D246:AA246" si="46">D216+D182</f>
        <v>0</v>
      </c>
      <c r="E246" s="107">
        <f t="shared" si="46"/>
        <v>58118.54</v>
      </c>
      <c r="F246" s="107">
        <f t="shared" si="46"/>
        <v>58118.54</v>
      </c>
      <c r="G246" s="107">
        <f t="shared" si="46"/>
        <v>58118.54</v>
      </c>
      <c r="H246" s="107">
        <f t="shared" si="46"/>
        <v>58118.54</v>
      </c>
      <c r="I246" s="107">
        <f t="shared" si="46"/>
        <v>58118.54</v>
      </c>
      <c r="J246" s="107">
        <f t="shared" si="46"/>
        <v>58118.54</v>
      </c>
      <c r="K246" s="107">
        <f t="shared" si="46"/>
        <v>58118.54</v>
      </c>
      <c r="L246" s="107">
        <f t="shared" si="46"/>
        <v>58118.54</v>
      </c>
      <c r="M246" s="107">
        <f t="shared" si="46"/>
        <v>58118.54</v>
      </c>
      <c r="N246" s="107">
        <f t="shared" si="46"/>
        <v>58118.54</v>
      </c>
      <c r="O246" s="107">
        <f t="shared" si="46"/>
        <v>58118.54</v>
      </c>
      <c r="P246" s="107">
        <f t="shared" si="46"/>
        <v>58118.54</v>
      </c>
      <c r="Q246" s="107">
        <f t="shared" si="46"/>
        <v>58118.54</v>
      </c>
      <c r="R246" s="107">
        <f t="shared" si="46"/>
        <v>58118.54</v>
      </c>
      <c r="S246" s="107">
        <f t="shared" si="46"/>
        <v>58118.54</v>
      </c>
      <c r="T246" s="107">
        <f t="shared" si="46"/>
        <v>58118.54</v>
      </c>
      <c r="U246" s="107">
        <f t="shared" si="46"/>
        <v>58118.54</v>
      </c>
      <c r="V246" s="107">
        <f t="shared" si="46"/>
        <v>58118.54</v>
      </c>
      <c r="W246" s="107">
        <f t="shared" si="46"/>
        <v>58118.54</v>
      </c>
      <c r="X246" s="107">
        <f t="shared" si="46"/>
        <v>58118.54</v>
      </c>
      <c r="Y246" s="107">
        <f t="shared" si="46"/>
        <v>58118.54</v>
      </c>
      <c r="Z246" s="107">
        <f t="shared" si="46"/>
        <v>58118.54</v>
      </c>
      <c r="AA246" s="109">
        <f t="shared" si="46"/>
        <v>58118.54</v>
      </c>
    </row>
    <row r="247" spans="2:27" x14ac:dyDescent="0.2">
      <c r="B247" s="66" t="s">
        <v>51</v>
      </c>
      <c r="C247" s="9">
        <f t="shared" si="44"/>
        <v>220598.99</v>
      </c>
      <c r="D247" s="9">
        <f t="shared" si="45"/>
        <v>220598.99</v>
      </c>
      <c r="E247" s="9">
        <f t="shared" si="45"/>
        <v>220598.99</v>
      </c>
      <c r="F247" s="9">
        <f t="shared" si="45"/>
        <v>220598.99</v>
      </c>
      <c r="G247" s="9">
        <f t="shared" si="45"/>
        <v>220598.99</v>
      </c>
      <c r="H247" s="9">
        <f t="shared" si="45"/>
        <v>220598.99</v>
      </c>
      <c r="I247" s="9">
        <f t="shared" si="45"/>
        <v>220598.99</v>
      </c>
      <c r="J247" s="9">
        <f t="shared" si="45"/>
        <v>220598.99</v>
      </c>
      <c r="K247" s="9">
        <f t="shared" si="45"/>
        <v>220598.99</v>
      </c>
      <c r="L247" s="9">
        <f t="shared" si="45"/>
        <v>220598.99</v>
      </c>
      <c r="M247" s="9">
        <f t="shared" si="45"/>
        <v>220598.99</v>
      </c>
      <c r="N247" s="9">
        <f t="shared" si="45"/>
        <v>220598.99</v>
      </c>
      <c r="O247" s="9">
        <f t="shared" si="45"/>
        <v>220598.99</v>
      </c>
      <c r="P247" s="9">
        <f t="shared" si="45"/>
        <v>220598.99</v>
      </c>
      <c r="Q247" s="9">
        <f t="shared" si="45"/>
        <v>220598.99</v>
      </c>
      <c r="R247" s="9">
        <f t="shared" si="45"/>
        <v>220598.99</v>
      </c>
      <c r="S247" s="9">
        <f t="shared" si="45"/>
        <v>220598.99</v>
      </c>
      <c r="T247" s="9">
        <f t="shared" si="45"/>
        <v>220598.99</v>
      </c>
      <c r="U247" s="9">
        <f t="shared" si="45"/>
        <v>220598.99</v>
      </c>
      <c r="V247" s="9">
        <f t="shared" si="45"/>
        <v>220598.99</v>
      </c>
      <c r="W247" s="9">
        <f t="shared" si="45"/>
        <v>220598.99</v>
      </c>
      <c r="X247" s="9">
        <f t="shared" si="45"/>
        <v>220598.99</v>
      </c>
      <c r="Y247" s="9">
        <f t="shared" si="45"/>
        <v>220598.99</v>
      </c>
      <c r="Z247" s="9">
        <f t="shared" si="45"/>
        <v>220598.99</v>
      </c>
      <c r="AA247" s="67">
        <f t="shared" si="45"/>
        <v>220598.99</v>
      </c>
    </row>
    <row r="248" spans="2:27" x14ac:dyDescent="0.2">
      <c r="B248" s="63" t="s">
        <v>52</v>
      </c>
      <c r="C248" s="8">
        <f t="shared" si="44"/>
        <v>1362.67</v>
      </c>
      <c r="D248" s="8">
        <f t="shared" si="45"/>
        <v>1362.67</v>
      </c>
      <c r="E248" s="8">
        <f t="shared" si="45"/>
        <v>1362.67</v>
      </c>
      <c r="F248" s="8">
        <f t="shared" si="45"/>
        <v>1362.67</v>
      </c>
      <c r="G248" s="8">
        <f t="shared" si="45"/>
        <v>1362.67</v>
      </c>
      <c r="H248" s="8">
        <f t="shared" si="45"/>
        <v>1362.67</v>
      </c>
      <c r="I248" s="8">
        <f t="shared" si="45"/>
        <v>1362.67</v>
      </c>
      <c r="J248" s="8">
        <f t="shared" si="45"/>
        <v>1362.67</v>
      </c>
      <c r="K248" s="8">
        <f t="shared" si="45"/>
        <v>1362.67</v>
      </c>
      <c r="L248" s="8">
        <f t="shared" si="45"/>
        <v>1362.67</v>
      </c>
      <c r="M248" s="8">
        <f t="shared" si="45"/>
        <v>1362.67</v>
      </c>
      <c r="N248" s="8">
        <f t="shared" si="45"/>
        <v>1362.67</v>
      </c>
      <c r="O248" s="8">
        <f t="shared" si="45"/>
        <v>1362.67</v>
      </c>
      <c r="P248" s="8">
        <f t="shared" si="45"/>
        <v>1362.67</v>
      </c>
      <c r="Q248" s="8">
        <f t="shared" si="45"/>
        <v>1362.67</v>
      </c>
      <c r="R248" s="8">
        <f t="shared" si="45"/>
        <v>1362.67</v>
      </c>
      <c r="S248" s="8">
        <f t="shared" si="45"/>
        <v>1362.67</v>
      </c>
      <c r="T248" s="8">
        <f t="shared" si="45"/>
        <v>1362.67</v>
      </c>
      <c r="U248" s="8">
        <f t="shared" si="45"/>
        <v>1362.67</v>
      </c>
      <c r="V248" s="8">
        <f t="shared" si="45"/>
        <v>1362.67</v>
      </c>
      <c r="W248" s="8">
        <f t="shared" si="45"/>
        <v>1362.67</v>
      </c>
      <c r="X248" s="8">
        <f t="shared" si="45"/>
        <v>1362.67</v>
      </c>
      <c r="Y248" s="8">
        <f t="shared" si="45"/>
        <v>1362.67</v>
      </c>
      <c r="Z248" s="8">
        <f t="shared" si="45"/>
        <v>1362.67</v>
      </c>
      <c r="AA248" s="65">
        <f t="shared" si="45"/>
        <v>1362.67</v>
      </c>
    </row>
    <row r="249" spans="2:27" x14ac:dyDescent="0.2">
      <c r="B249" s="63" t="s">
        <v>53</v>
      </c>
      <c r="C249" s="8">
        <f>C243+C244-C248</f>
        <v>253941.03000000087</v>
      </c>
      <c r="D249" s="8">
        <f t="shared" ref="D249:AA249" si="47">D243+D244-D248</f>
        <v>147928.10000000117</v>
      </c>
      <c r="E249" s="8">
        <f t="shared" si="47"/>
        <v>443473.23999999894</v>
      </c>
      <c r="F249" s="8">
        <f t="shared" si="47"/>
        <v>443473.23999999894</v>
      </c>
      <c r="G249" s="8">
        <f t="shared" si="47"/>
        <v>443473.23999999894</v>
      </c>
      <c r="H249" s="8">
        <f t="shared" si="47"/>
        <v>438172.59000000043</v>
      </c>
      <c r="I249" s="8">
        <f t="shared" si="47"/>
        <v>438172.59000000043</v>
      </c>
      <c r="J249" s="8">
        <f t="shared" si="47"/>
        <v>402965.17000000237</v>
      </c>
      <c r="K249" s="8">
        <f t="shared" si="47"/>
        <v>402965.17000000237</v>
      </c>
      <c r="L249" s="8">
        <f t="shared" si="47"/>
        <v>402965.17000000237</v>
      </c>
      <c r="M249" s="8">
        <f t="shared" si="47"/>
        <v>397664.53000000177</v>
      </c>
      <c r="N249" s="8">
        <f t="shared" si="47"/>
        <v>397664.53000000177</v>
      </c>
      <c r="O249" s="8">
        <f t="shared" si="47"/>
        <v>397664.53000000177</v>
      </c>
      <c r="P249" s="8">
        <f t="shared" si="47"/>
        <v>397664.53000000177</v>
      </c>
      <c r="Q249" s="8">
        <f t="shared" si="47"/>
        <v>397664.53000000177</v>
      </c>
      <c r="R249" s="8">
        <f t="shared" si="47"/>
        <v>392363.87999999954</v>
      </c>
      <c r="S249" s="8">
        <f t="shared" si="47"/>
        <v>392363.87999999954</v>
      </c>
      <c r="T249" s="8">
        <f t="shared" si="47"/>
        <v>392363.87999999954</v>
      </c>
      <c r="U249" s="8">
        <f t="shared" si="47"/>
        <v>392363.87999999954</v>
      </c>
      <c r="V249" s="8">
        <f t="shared" si="47"/>
        <v>392363.87999999954</v>
      </c>
      <c r="W249" s="8">
        <f t="shared" si="47"/>
        <v>387063.23000000103</v>
      </c>
      <c r="X249" s="8">
        <f t="shared" si="47"/>
        <v>387063.23000000103</v>
      </c>
      <c r="Y249" s="8">
        <f t="shared" si="47"/>
        <v>387063.23000000103</v>
      </c>
      <c r="Z249" s="8">
        <f t="shared" si="47"/>
        <v>387063.23000000103</v>
      </c>
      <c r="AA249" s="65">
        <f t="shared" si="47"/>
        <v>514278.75000000058</v>
      </c>
    </row>
    <row r="250" spans="2:27" x14ac:dyDescent="0.2">
      <c r="B250" s="63" t="s">
        <v>54</v>
      </c>
      <c r="C250" s="8">
        <f t="shared" si="44"/>
        <v>8953.68</v>
      </c>
      <c r="D250" s="8">
        <f t="shared" si="45"/>
        <v>8953.68</v>
      </c>
      <c r="E250" s="8">
        <f t="shared" si="45"/>
        <v>8953.68</v>
      </c>
      <c r="F250" s="8">
        <f t="shared" si="45"/>
        <v>8953.68</v>
      </c>
      <c r="G250" s="8">
        <f t="shared" si="45"/>
        <v>8953.68</v>
      </c>
      <c r="H250" s="8">
        <f t="shared" si="45"/>
        <v>8953.68</v>
      </c>
      <c r="I250" s="8">
        <f t="shared" si="45"/>
        <v>8953.68</v>
      </c>
      <c r="J250" s="8">
        <f t="shared" si="45"/>
        <v>8953.68</v>
      </c>
      <c r="K250" s="8">
        <f t="shared" si="45"/>
        <v>8953.68</v>
      </c>
      <c r="L250" s="8">
        <f t="shared" si="45"/>
        <v>8953.68</v>
      </c>
      <c r="M250" s="8">
        <f t="shared" si="45"/>
        <v>8953.68</v>
      </c>
      <c r="N250" s="8">
        <f t="shared" si="45"/>
        <v>8953.68</v>
      </c>
      <c r="O250" s="8">
        <f t="shared" si="45"/>
        <v>8953.68</v>
      </c>
      <c r="P250" s="8">
        <f t="shared" si="45"/>
        <v>8953.68</v>
      </c>
      <c r="Q250" s="8">
        <f t="shared" si="45"/>
        <v>8953.68</v>
      </c>
      <c r="R250" s="8">
        <f t="shared" si="45"/>
        <v>8953.68</v>
      </c>
      <c r="S250" s="8">
        <f t="shared" si="45"/>
        <v>8953.68</v>
      </c>
      <c r="T250" s="8">
        <f t="shared" si="45"/>
        <v>8953.68</v>
      </c>
      <c r="U250" s="8">
        <f t="shared" si="45"/>
        <v>8953.68</v>
      </c>
      <c r="V250" s="8">
        <f t="shared" si="45"/>
        <v>8953.68</v>
      </c>
      <c r="W250" s="8">
        <f t="shared" si="45"/>
        <v>8953.68</v>
      </c>
      <c r="X250" s="8">
        <f t="shared" si="45"/>
        <v>8953.68</v>
      </c>
      <c r="Y250" s="8">
        <f t="shared" si="45"/>
        <v>8953.68</v>
      </c>
      <c r="Z250" s="8">
        <f t="shared" si="45"/>
        <v>8953.68</v>
      </c>
      <c r="AA250" s="65">
        <f t="shared" si="45"/>
        <v>8953.68</v>
      </c>
    </row>
    <row r="251" spans="2:27" x14ac:dyDescent="0.2">
      <c r="B251" s="63" t="s">
        <v>55</v>
      </c>
      <c r="C251" s="108">
        <f>C221+C197</f>
        <v>203067.09</v>
      </c>
      <c r="D251" s="108">
        <f t="shared" ref="D251:AA251" si="48">D221+D197</f>
        <v>203067.09</v>
      </c>
      <c r="E251" s="108">
        <f t="shared" si="48"/>
        <v>203067.09</v>
      </c>
      <c r="F251" s="108">
        <f t="shared" si="48"/>
        <v>203067.09</v>
      </c>
      <c r="G251" s="108">
        <f t="shared" si="48"/>
        <v>203067.09</v>
      </c>
      <c r="H251" s="108">
        <f t="shared" si="48"/>
        <v>203067.09</v>
      </c>
      <c r="I251" s="108">
        <f t="shared" si="48"/>
        <v>203067.09</v>
      </c>
      <c r="J251" s="108">
        <f t="shared" si="48"/>
        <v>203067.09</v>
      </c>
      <c r="K251" s="108">
        <f t="shared" si="48"/>
        <v>203067.09</v>
      </c>
      <c r="L251" s="108">
        <f t="shared" si="48"/>
        <v>203067.09</v>
      </c>
      <c r="M251" s="108">
        <f t="shared" si="48"/>
        <v>203067.09</v>
      </c>
      <c r="N251" s="108">
        <f t="shared" si="48"/>
        <v>203067.09</v>
      </c>
      <c r="O251" s="108">
        <f t="shared" si="48"/>
        <v>203067.09</v>
      </c>
      <c r="P251" s="108">
        <f t="shared" si="48"/>
        <v>203067.09</v>
      </c>
      <c r="Q251" s="108">
        <f t="shared" si="48"/>
        <v>203067.09</v>
      </c>
      <c r="R251" s="108">
        <f t="shared" si="48"/>
        <v>203067.09</v>
      </c>
      <c r="S251" s="108">
        <f t="shared" si="48"/>
        <v>203067.09</v>
      </c>
      <c r="T251" s="108">
        <f t="shared" si="48"/>
        <v>203067.09</v>
      </c>
      <c r="U251" s="108">
        <f t="shared" si="48"/>
        <v>203067.09</v>
      </c>
      <c r="V251" s="108">
        <f t="shared" si="48"/>
        <v>203067.09</v>
      </c>
      <c r="W251" s="108">
        <f t="shared" si="48"/>
        <v>203067.09</v>
      </c>
      <c r="X251" s="108">
        <f t="shared" si="48"/>
        <v>203067.09</v>
      </c>
      <c r="Y251" s="108">
        <f t="shared" si="48"/>
        <v>203067.09</v>
      </c>
      <c r="Z251" s="108">
        <f t="shared" si="48"/>
        <v>203067.09</v>
      </c>
      <c r="AA251" s="110">
        <f t="shared" si="48"/>
        <v>203067.09</v>
      </c>
    </row>
    <row r="252" spans="2:27" x14ac:dyDescent="0.2">
      <c r="B252" s="63" t="s">
        <v>56</v>
      </c>
      <c r="C252" s="8">
        <f>C249+C250-C251</f>
        <v>59827.620000000898</v>
      </c>
      <c r="D252" s="8">
        <f t="shared" ref="D252:AA252" si="49">D249+D250-D251</f>
        <v>-46185.309999998834</v>
      </c>
      <c r="E252" s="8">
        <f t="shared" si="49"/>
        <v>249359.82999999894</v>
      </c>
      <c r="F252" s="8">
        <f t="shared" si="49"/>
        <v>249359.82999999894</v>
      </c>
      <c r="G252" s="8">
        <f t="shared" si="49"/>
        <v>249359.82999999894</v>
      </c>
      <c r="H252" s="8">
        <f t="shared" si="49"/>
        <v>244059.18000000043</v>
      </c>
      <c r="I252" s="8">
        <f t="shared" si="49"/>
        <v>244059.18000000043</v>
      </c>
      <c r="J252" s="8">
        <f t="shared" si="49"/>
        <v>208851.76000000237</v>
      </c>
      <c r="K252" s="8">
        <f t="shared" si="49"/>
        <v>208851.76000000237</v>
      </c>
      <c r="L252" s="8">
        <f t="shared" si="49"/>
        <v>208851.76000000237</v>
      </c>
      <c r="M252" s="8">
        <f t="shared" si="49"/>
        <v>203551.12000000177</v>
      </c>
      <c r="N252" s="8">
        <f t="shared" si="49"/>
        <v>203551.12000000177</v>
      </c>
      <c r="O252" s="8">
        <f t="shared" si="49"/>
        <v>203551.12000000177</v>
      </c>
      <c r="P252" s="8">
        <f t="shared" si="49"/>
        <v>203551.12000000177</v>
      </c>
      <c r="Q252" s="8">
        <f t="shared" si="49"/>
        <v>203551.12000000177</v>
      </c>
      <c r="R252" s="8">
        <f t="shared" si="49"/>
        <v>198250.46999999954</v>
      </c>
      <c r="S252" s="8">
        <f t="shared" si="49"/>
        <v>198250.46999999954</v>
      </c>
      <c r="T252" s="8">
        <f t="shared" si="49"/>
        <v>198250.46999999954</v>
      </c>
      <c r="U252" s="8">
        <f t="shared" si="49"/>
        <v>198250.46999999954</v>
      </c>
      <c r="V252" s="8">
        <f t="shared" si="49"/>
        <v>198250.46999999954</v>
      </c>
      <c r="W252" s="8">
        <f t="shared" si="49"/>
        <v>192949.82000000103</v>
      </c>
      <c r="X252" s="8">
        <f t="shared" si="49"/>
        <v>192949.82000000103</v>
      </c>
      <c r="Y252" s="8">
        <f t="shared" si="49"/>
        <v>192949.82000000103</v>
      </c>
      <c r="Z252" s="8">
        <f t="shared" si="49"/>
        <v>192949.82000000103</v>
      </c>
      <c r="AA252" s="65">
        <f t="shared" si="49"/>
        <v>320165.34000000055</v>
      </c>
    </row>
    <row r="253" spans="2:27" x14ac:dyDescent="0.2">
      <c r="B253" s="63" t="s">
        <v>57</v>
      </c>
      <c r="C253" s="8">
        <f t="shared" si="44"/>
        <v>0</v>
      </c>
      <c r="D253" s="8">
        <f t="shared" si="45"/>
        <v>0</v>
      </c>
      <c r="E253" s="8">
        <f t="shared" si="45"/>
        <v>0</v>
      </c>
      <c r="F253" s="8">
        <f t="shared" si="45"/>
        <v>0</v>
      </c>
      <c r="G253" s="8">
        <f t="shared" si="45"/>
        <v>0</v>
      </c>
      <c r="H253" s="8">
        <f t="shared" si="45"/>
        <v>0</v>
      </c>
      <c r="I253" s="8">
        <f t="shared" si="45"/>
        <v>0</v>
      </c>
      <c r="J253" s="8">
        <f t="shared" si="45"/>
        <v>0</v>
      </c>
      <c r="K253" s="8">
        <f t="shared" si="45"/>
        <v>0</v>
      </c>
      <c r="L253" s="8">
        <f t="shared" si="45"/>
        <v>0</v>
      </c>
      <c r="M253" s="8">
        <f t="shared" si="45"/>
        <v>0</v>
      </c>
      <c r="N253" s="8">
        <f t="shared" si="45"/>
        <v>0</v>
      </c>
      <c r="O253" s="8">
        <f t="shared" si="45"/>
        <v>0</v>
      </c>
      <c r="P253" s="8">
        <f t="shared" si="45"/>
        <v>0</v>
      </c>
      <c r="Q253" s="8">
        <f t="shared" si="45"/>
        <v>0</v>
      </c>
      <c r="R253" s="8">
        <f t="shared" si="45"/>
        <v>0</v>
      </c>
      <c r="S253" s="8">
        <f t="shared" si="45"/>
        <v>0</v>
      </c>
      <c r="T253" s="8">
        <f t="shared" si="45"/>
        <v>0</v>
      </c>
      <c r="U253" s="8">
        <f t="shared" si="45"/>
        <v>0</v>
      </c>
      <c r="V253" s="8">
        <f t="shared" si="45"/>
        <v>0</v>
      </c>
      <c r="W253" s="8">
        <f t="shared" si="45"/>
        <v>0</v>
      </c>
      <c r="X253" s="8">
        <f t="shared" si="45"/>
        <v>0</v>
      </c>
      <c r="Y253" s="8">
        <f t="shared" si="45"/>
        <v>0</v>
      </c>
      <c r="Z253" s="8">
        <f t="shared" si="45"/>
        <v>0</v>
      </c>
      <c r="AA253" s="65">
        <f t="shared" si="45"/>
        <v>0</v>
      </c>
    </row>
    <row r="254" spans="2:27" x14ac:dyDescent="0.2">
      <c r="B254" s="63" t="s">
        <v>58</v>
      </c>
      <c r="C254" s="8">
        <f>C252+C253</f>
        <v>59827.620000000898</v>
      </c>
      <c r="D254" s="8">
        <f t="shared" ref="D254:AA254" si="50">D252+D253</f>
        <v>-46185.309999998834</v>
      </c>
      <c r="E254" s="8">
        <f t="shared" si="50"/>
        <v>249359.82999999894</v>
      </c>
      <c r="F254" s="8">
        <f t="shared" si="50"/>
        <v>249359.82999999894</v>
      </c>
      <c r="G254" s="8">
        <f t="shared" si="50"/>
        <v>249359.82999999894</v>
      </c>
      <c r="H254" s="8">
        <f t="shared" si="50"/>
        <v>244059.18000000043</v>
      </c>
      <c r="I254" s="8">
        <f t="shared" si="50"/>
        <v>244059.18000000043</v>
      </c>
      <c r="J254" s="8">
        <f t="shared" si="50"/>
        <v>208851.76000000237</v>
      </c>
      <c r="K254" s="8">
        <f t="shared" si="50"/>
        <v>208851.76000000237</v>
      </c>
      <c r="L254" s="8">
        <f t="shared" si="50"/>
        <v>208851.76000000237</v>
      </c>
      <c r="M254" s="8">
        <f t="shared" si="50"/>
        <v>203551.12000000177</v>
      </c>
      <c r="N254" s="8">
        <f t="shared" si="50"/>
        <v>203551.12000000177</v>
      </c>
      <c r="O254" s="8">
        <f t="shared" si="50"/>
        <v>203551.12000000177</v>
      </c>
      <c r="P254" s="8">
        <f t="shared" si="50"/>
        <v>203551.12000000177</v>
      </c>
      <c r="Q254" s="8">
        <f t="shared" si="50"/>
        <v>203551.12000000177</v>
      </c>
      <c r="R254" s="8">
        <f t="shared" si="50"/>
        <v>198250.46999999954</v>
      </c>
      <c r="S254" s="8">
        <f t="shared" si="50"/>
        <v>198250.46999999954</v>
      </c>
      <c r="T254" s="8">
        <f t="shared" si="50"/>
        <v>198250.46999999954</v>
      </c>
      <c r="U254" s="8">
        <f t="shared" si="50"/>
        <v>198250.46999999954</v>
      </c>
      <c r="V254" s="8">
        <f t="shared" si="50"/>
        <v>198250.46999999954</v>
      </c>
      <c r="W254" s="8">
        <f t="shared" si="50"/>
        <v>192949.82000000103</v>
      </c>
      <c r="X254" s="8">
        <f t="shared" si="50"/>
        <v>192949.82000000103</v>
      </c>
      <c r="Y254" s="8">
        <f t="shared" si="50"/>
        <v>192949.82000000103</v>
      </c>
      <c r="Z254" s="8">
        <f t="shared" si="50"/>
        <v>192949.82000000103</v>
      </c>
      <c r="AA254" s="65">
        <f t="shared" si="50"/>
        <v>320165.34000000055</v>
      </c>
    </row>
    <row r="255" spans="2:27" x14ac:dyDescent="0.2">
      <c r="B255" s="63" t="s">
        <v>59</v>
      </c>
      <c r="C255" s="8">
        <f t="shared" si="44"/>
        <v>0</v>
      </c>
      <c r="D255" s="8">
        <f t="shared" si="45"/>
        <v>0</v>
      </c>
      <c r="E255" s="8">
        <f t="shared" si="45"/>
        <v>0</v>
      </c>
      <c r="F255" s="8">
        <f t="shared" si="45"/>
        <v>0</v>
      </c>
      <c r="G255" s="8">
        <f t="shared" si="45"/>
        <v>0</v>
      </c>
      <c r="H255" s="8">
        <f t="shared" si="45"/>
        <v>0</v>
      </c>
      <c r="I255" s="8">
        <f t="shared" si="45"/>
        <v>0</v>
      </c>
      <c r="J255" s="8">
        <f t="shared" si="45"/>
        <v>0</v>
      </c>
      <c r="K255" s="8">
        <f t="shared" si="45"/>
        <v>0</v>
      </c>
      <c r="L255" s="8">
        <f t="shared" si="45"/>
        <v>0</v>
      </c>
      <c r="M255" s="8">
        <f t="shared" si="45"/>
        <v>0</v>
      </c>
      <c r="N255" s="8">
        <f t="shared" si="45"/>
        <v>0</v>
      </c>
      <c r="O255" s="8">
        <f t="shared" si="45"/>
        <v>0</v>
      </c>
      <c r="P255" s="8">
        <f t="shared" si="45"/>
        <v>0</v>
      </c>
      <c r="Q255" s="8">
        <f t="shared" si="45"/>
        <v>0</v>
      </c>
      <c r="R255" s="8">
        <f t="shared" si="45"/>
        <v>0</v>
      </c>
      <c r="S255" s="8">
        <f t="shared" si="45"/>
        <v>0</v>
      </c>
      <c r="T255" s="8">
        <f t="shared" si="45"/>
        <v>0</v>
      </c>
      <c r="U255" s="8">
        <f t="shared" si="45"/>
        <v>0</v>
      </c>
      <c r="V255" s="8">
        <f t="shared" si="45"/>
        <v>0</v>
      </c>
      <c r="W255" s="8">
        <f t="shared" si="45"/>
        <v>0</v>
      </c>
      <c r="X255" s="8">
        <f t="shared" si="45"/>
        <v>0</v>
      </c>
      <c r="Y255" s="8">
        <f t="shared" si="45"/>
        <v>0</v>
      </c>
      <c r="Z255" s="8">
        <f t="shared" si="45"/>
        <v>0</v>
      </c>
      <c r="AA255" s="65">
        <f t="shared" si="45"/>
        <v>0</v>
      </c>
    </row>
    <row r="256" spans="2:27" x14ac:dyDescent="0.2">
      <c r="B256" s="68" t="s">
        <v>60</v>
      </c>
      <c r="C256" s="8">
        <f t="shared" si="44"/>
        <v>0</v>
      </c>
      <c r="D256" s="8">
        <f t="shared" si="45"/>
        <v>0</v>
      </c>
      <c r="E256" s="8">
        <f t="shared" si="45"/>
        <v>0</v>
      </c>
      <c r="F256" s="8">
        <f t="shared" si="45"/>
        <v>0</v>
      </c>
      <c r="G256" s="8">
        <f t="shared" si="45"/>
        <v>0</v>
      </c>
      <c r="H256" s="8">
        <f t="shared" si="45"/>
        <v>0</v>
      </c>
      <c r="I256" s="8">
        <f t="shared" si="45"/>
        <v>0</v>
      </c>
      <c r="J256" s="8">
        <f t="shared" si="45"/>
        <v>0</v>
      </c>
      <c r="K256" s="8">
        <f t="shared" si="45"/>
        <v>0</v>
      </c>
      <c r="L256" s="8">
        <f t="shared" si="45"/>
        <v>0</v>
      </c>
      <c r="M256" s="8">
        <f t="shared" si="45"/>
        <v>0</v>
      </c>
      <c r="N256" s="8">
        <f t="shared" si="45"/>
        <v>0</v>
      </c>
      <c r="O256" s="8">
        <f t="shared" si="45"/>
        <v>0</v>
      </c>
      <c r="P256" s="8">
        <f t="shared" si="45"/>
        <v>0</v>
      </c>
      <c r="Q256" s="8">
        <f t="shared" si="45"/>
        <v>0</v>
      </c>
      <c r="R256" s="8">
        <f t="shared" si="45"/>
        <v>0</v>
      </c>
      <c r="S256" s="8">
        <f t="shared" si="45"/>
        <v>0</v>
      </c>
      <c r="T256" s="8">
        <f t="shared" si="45"/>
        <v>0</v>
      </c>
      <c r="U256" s="8">
        <f t="shared" si="45"/>
        <v>0</v>
      </c>
      <c r="V256" s="8">
        <f t="shared" si="45"/>
        <v>0</v>
      </c>
      <c r="W256" s="8">
        <f t="shared" si="45"/>
        <v>0</v>
      </c>
      <c r="X256" s="8">
        <f t="shared" si="45"/>
        <v>0</v>
      </c>
      <c r="Y256" s="8">
        <f t="shared" si="45"/>
        <v>0</v>
      </c>
      <c r="Z256" s="8">
        <f t="shared" si="45"/>
        <v>0</v>
      </c>
      <c r="AA256" s="65">
        <f t="shared" si="45"/>
        <v>0</v>
      </c>
    </row>
    <row r="257" spans="1:27" x14ac:dyDescent="0.2">
      <c r="B257" s="69" t="s">
        <v>61</v>
      </c>
      <c r="C257" s="70">
        <f>C254-C255</f>
        <v>59827.620000000898</v>
      </c>
      <c r="D257" s="70">
        <f t="shared" ref="D257:AA257" si="51">D254-D255</f>
        <v>-46185.309999998834</v>
      </c>
      <c r="E257" s="70">
        <f t="shared" si="51"/>
        <v>249359.82999999894</v>
      </c>
      <c r="F257" s="70">
        <f t="shared" si="51"/>
        <v>249359.82999999894</v>
      </c>
      <c r="G257" s="70">
        <f t="shared" si="51"/>
        <v>249359.82999999894</v>
      </c>
      <c r="H257" s="70">
        <f t="shared" si="51"/>
        <v>244059.18000000043</v>
      </c>
      <c r="I257" s="70">
        <f t="shared" si="51"/>
        <v>244059.18000000043</v>
      </c>
      <c r="J257" s="70">
        <f t="shared" si="51"/>
        <v>208851.76000000237</v>
      </c>
      <c r="K257" s="70">
        <f t="shared" si="51"/>
        <v>208851.76000000237</v>
      </c>
      <c r="L257" s="70">
        <f t="shared" si="51"/>
        <v>208851.76000000237</v>
      </c>
      <c r="M257" s="70">
        <f t="shared" si="51"/>
        <v>203551.12000000177</v>
      </c>
      <c r="N257" s="70">
        <f t="shared" si="51"/>
        <v>203551.12000000177</v>
      </c>
      <c r="O257" s="70">
        <f t="shared" si="51"/>
        <v>203551.12000000177</v>
      </c>
      <c r="P257" s="70">
        <f t="shared" si="51"/>
        <v>203551.12000000177</v>
      </c>
      <c r="Q257" s="70">
        <f t="shared" si="51"/>
        <v>203551.12000000177</v>
      </c>
      <c r="R257" s="70">
        <f t="shared" si="51"/>
        <v>198250.46999999954</v>
      </c>
      <c r="S257" s="70">
        <f t="shared" si="51"/>
        <v>198250.46999999954</v>
      </c>
      <c r="T257" s="70">
        <f t="shared" si="51"/>
        <v>198250.46999999954</v>
      </c>
      <c r="U257" s="70">
        <f t="shared" si="51"/>
        <v>198250.46999999954</v>
      </c>
      <c r="V257" s="70">
        <f t="shared" si="51"/>
        <v>198250.46999999954</v>
      </c>
      <c r="W257" s="70">
        <f t="shared" si="51"/>
        <v>192949.82000000103</v>
      </c>
      <c r="X257" s="70">
        <f t="shared" si="51"/>
        <v>192949.82000000103</v>
      </c>
      <c r="Y257" s="70">
        <f t="shared" si="51"/>
        <v>192949.82000000103</v>
      </c>
      <c r="Z257" s="70">
        <f t="shared" si="51"/>
        <v>192949.82000000103</v>
      </c>
      <c r="AA257" s="71">
        <f t="shared" si="51"/>
        <v>320165.34000000055</v>
      </c>
    </row>
    <row r="261" spans="1:27" x14ac:dyDescent="0.2">
      <c r="A261" s="7" t="s">
        <v>227</v>
      </c>
      <c r="B261" s="7" t="s">
        <v>143</v>
      </c>
    </row>
    <row r="262" spans="1:27" x14ac:dyDescent="0.2">
      <c r="B262" s="10" t="s">
        <v>64</v>
      </c>
      <c r="C262" s="11">
        <f t="shared" ref="C262:AA262" si="52">C$160</f>
        <v>2016</v>
      </c>
      <c r="D262" s="11">
        <f t="shared" si="52"/>
        <v>2017</v>
      </c>
      <c r="E262" s="11">
        <f t="shared" si="52"/>
        <v>2018</v>
      </c>
      <c r="F262" s="11">
        <f t="shared" si="52"/>
        <v>2019</v>
      </c>
      <c r="G262" s="11">
        <f t="shared" si="52"/>
        <v>2020</v>
      </c>
      <c r="H262" s="11">
        <f t="shared" si="52"/>
        <v>2021</v>
      </c>
      <c r="I262" s="11">
        <f t="shared" si="52"/>
        <v>2022</v>
      </c>
      <c r="J262" s="11">
        <f t="shared" si="52"/>
        <v>2023</v>
      </c>
      <c r="K262" s="11">
        <f t="shared" si="52"/>
        <v>2024</v>
      </c>
      <c r="L262" s="11">
        <f t="shared" si="52"/>
        <v>2025</v>
      </c>
      <c r="M262" s="11">
        <f t="shared" si="52"/>
        <v>2026</v>
      </c>
      <c r="N262" s="11">
        <f t="shared" si="52"/>
        <v>2027</v>
      </c>
      <c r="O262" s="11">
        <f t="shared" si="52"/>
        <v>2028</v>
      </c>
      <c r="P262" s="11">
        <f t="shared" si="52"/>
        <v>2029</v>
      </c>
      <c r="Q262" s="11">
        <f t="shared" si="52"/>
        <v>2030</v>
      </c>
      <c r="R262" s="11">
        <f t="shared" si="52"/>
        <v>2031</v>
      </c>
      <c r="S262" s="11">
        <f t="shared" si="52"/>
        <v>2032</v>
      </c>
      <c r="T262" s="11">
        <f t="shared" si="52"/>
        <v>2033</v>
      </c>
      <c r="U262" s="11">
        <f t="shared" si="52"/>
        <v>2034</v>
      </c>
      <c r="V262" s="11">
        <f t="shared" si="52"/>
        <v>2035</v>
      </c>
      <c r="W262" s="11">
        <f t="shared" si="52"/>
        <v>2036</v>
      </c>
      <c r="X262" s="11">
        <f t="shared" si="52"/>
        <v>2037</v>
      </c>
      <c r="Y262" s="11">
        <f t="shared" si="52"/>
        <v>2038</v>
      </c>
      <c r="Z262" s="11">
        <f t="shared" si="52"/>
        <v>2039</v>
      </c>
      <c r="AA262" s="12">
        <f t="shared" si="52"/>
        <v>2040</v>
      </c>
    </row>
    <row r="263" spans="1:27" x14ac:dyDescent="0.2">
      <c r="B263" s="63" t="s">
        <v>37</v>
      </c>
      <c r="C263" s="111">
        <f>C233-C203</f>
        <v>0</v>
      </c>
      <c r="D263" s="111">
        <f t="shared" ref="D263:AA274" si="53">D233-D203</f>
        <v>0</v>
      </c>
      <c r="E263" s="111">
        <f t="shared" si="53"/>
        <v>0</v>
      </c>
      <c r="F263" s="111">
        <f t="shared" si="53"/>
        <v>0</v>
      </c>
      <c r="G263" s="111">
        <f t="shared" si="53"/>
        <v>0</v>
      </c>
      <c r="H263" s="111">
        <f t="shared" si="53"/>
        <v>0</v>
      </c>
      <c r="I263" s="111">
        <f t="shared" si="53"/>
        <v>0</v>
      </c>
      <c r="J263" s="111">
        <f t="shared" si="53"/>
        <v>0</v>
      </c>
      <c r="K263" s="111">
        <f t="shared" si="53"/>
        <v>0</v>
      </c>
      <c r="L263" s="111">
        <f t="shared" si="53"/>
        <v>0</v>
      </c>
      <c r="M263" s="111">
        <f t="shared" si="53"/>
        <v>0</v>
      </c>
      <c r="N263" s="111">
        <f t="shared" si="53"/>
        <v>0</v>
      </c>
      <c r="O263" s="111">
        <f t="shared" si="53"/>
        <v>0</v>
      </c>
      <c r="P263" s="111">
        <f t="shared" si="53"/>
        <v>0</v>
      </c>
      <c r="Q263" s="111">
        <f t="shared" si="53"/>
        <v>0</v>
      </c>
      <c r="R263" s="111">
        <f t="shared" si="53"/>
        <v>0</v>
      </c>
      <c r="S263" s="111">
        <f t="shared" si="53"/>
        <v>0</v>
      </c>
      <c r="T263" s="111">
        <f t="shared" si="53"/>
        <v>0</v>
      </c>
      <c r="U263" s="111">
        <f t="shared" si="53"/>
        <v>0</v>
      </c>
      <c r="V263" s="111">
        <f t="shared" si="53"/>
        <v>0</v>
      </c>
      <c r="W263" s="111">
        <f t="shared" si="53"/>
        <v>0</v>
      </c>
      <c r="X263" s="111">
        <f t="shared" si="53"/>
        <v>0</v>
      </c>
      <c r="Y263" s="111">
        <f t="shared" si="53"/>
        <v>0</v>
      </c>
      <c r="Z263" s="111">
        <f t="shared" si="53"/>
        <v>0</v>
      </c>
      <c r="AA263" s="112">
        <f t="shared" si="53"/>
        <v>0</v>
      </c>
    </row>
    <row r="264" spans="1:27" x14ac:dyDescent="0.2">
      <c r="B264" s="63" t="s">
        <v>38</v>
      </c>
      <c r="C264" s="8">
        <f t="shared" ref="C264:R287" si="54">C234-C204</f>
        <v>0</v>
      </c>
      <c r="D264" s="8">
        <f t="shared" si="54"/>
        <v>106012.9299999997</v>
      </c>
      <c r="E264" s="8">
        <f t="shared" si="54"/>
        <v>-131413.66999999806</v>
      </c>
      <c r="F264" s="8">
        <f t="shared" si="54"/>
        <v>-131413.66999999806</v>
      </c>
      <c r="G264" s="8">
        <f t="shared" si="54"/>
        <v>-131413.66999999806</v>
      </c>
      <c r="H264" s="8">
        <f t="shared" si="54"/>
        <v>-126113.01999999955</v>
      </c>
      <c r="I264" s="8">
        <f t="shared" si="54"/>
        <v>-126113.01999999955</v>
      </c>
      <c r="J264" s="8">
        <f t="shared" si="54"/>
        <v>-90905.60000000149</v>
      </c>
      <c r="K264" s="8">
        <f t="shared" si="54"/>
        <v>-90905.60000000149</v>
      </c>
      <c r="L264" s="8">
        <f t="shared" si="54"/>
        <v>-90905.60000000149</v>
      </c>
      <c r="M264" s="8">
        <f t="shared" si="54"/>
        <v>-85604.960000000894</v>
      </c>
      <c r="N264" s="8">
        <f t="shared" si="54"/>
        <v>-85604.960000000894</v>
      </c>
      <c r="O264" s="8">
        <f t="shared" si="54"/>
        <v>-85604.960000000894</v>
      </c>
      <c r="P264" s="8">
        <f t="shared" si="54"/>
        <v>-85604.960000000894</v>
      </c>
      <c r="Q264" s="8">
        <f t="shared" si="54"/>
        <v>-85604.960000000894</v>
      </c>
      <c r="R264" s="8">
        <f t="shared" si="54"/>
        <v>-80304.309999998659</v>
      </c>
      <c r="S264" s="8">
        <f t="shared" si="53"/>
        <v>-80304.309999998659</v>
      </c>
      <c r="T264" s="8">
        <f t="shared" si="53"/>
        <v>-80304.309999998659</v>
      </c>
      <c r="U264" s="8">
        <f t="shared" si="53"/>
        <v>-80304.309999998659</v>
      </c>
      <c r="V264" s="8">
        <f t="shared" si="53"/>
        <v>-80304.309999998659</v>
      </c>
      <c r="W264" s="8">
        <f t="shared" si="53"/>
        <v>-75003.660000000149</v>
      </c>
      <c r="X264" s="8">
        <f t="shared" si="53"/>
        <v>-75003.660000000149</v>
      </c>
      <c r="Y264" s="8">
        <f t="shared" si="53"/>
        <v>-75003.660000000149</v>
      </c>
      <c r="Z264" s="8">
        <f t="shared" si="53"/>
        <v>-75003.660000000149</v>
      </c>
      <c r="AA264" s="65">
        <f t="shared" si="53"/>
        <v>-202219.1799999997</v>
      </c>
    </row>
    <row r="265" spans="1:27" x14ac:dyDescent="0.2">
      <c r="B265" s="66" t="s">
        <v>39</v>
      </c>
      <c r="C265" s="9">
        <f t="shared" si="54"/>
        <v>0</v>
      </c>
      <c r="D265" s="9">
        <f t="shared" si="53"/>
        <v>106012.92999999993</v>
      </c>
      <c r="E265" s="9">
        <f t="shared" si="53"/>
        <v>106012.92999999993</v>
      </c>
      <c r="F265" s="9">
        <f t="shared" si="53"/>
        <v>106012.92999999993</v>
      </c>
      <c r="G265" s="9">
        <f t="shared" si="53"/>
        <v>106012.92999999993</v>
      </c>
      <c r="H265" s="9">
        <f t="shared" si="53"/>
        <v>111313.57999999984</v>
      </c>
      <c r="I265" s="9">
        <f t="shared" si="53"/>
        <v>111313.57999999984</v>
      </c>
      <c r="J265" s="9">
        <f t="shared" si="53"/>
        <v>111313.57999999984</v>
      </c>
      <c r="K265" s="9">
        <f t="shared" si="53"/>
        <v>111313.57999999984</v>
      </c>
      <c r="L265" s="9">
        <f t="shared" si="53"/>
        <v>111313.57999999984</v>
      </c>
      <c r="M265" s="9">
        <f t="shared" si="53"/>
        <v>116614.21999999997</v>
      </c>
      <c r="N265" s="9">
        <f t="shared" si="53"/>
        <v>116614.21999999997</v>
      </c>
      <c r="O265" s="9">
        <f t="shared" si="53"/>
        <v>116614.21999999997</v>
      </c>
      <c r="P265" s="9">
        <f t="shared" si="53"/>
        <v>116614.21999999997</v>
      </c>
      <c r="Q265" s="9">
        <f t="shared" si="53"/>
        <v>116614.21999999997</v>
      </c>
      <c r="R265" s="9">
        <f t="shared" si="53"/>
        <v>121914.86999999988</v>
      </c>
      <c r="S265" s="9">
        <f t="shared" si="53"/>
        <v>121914.86999999988</v>
      </c>
      <c r="T265" s="9">
        <f t="shared" si="53"/>
        <v>121914.86999999988</v>
      </c>
      <c r="U265" s="9">
        <f t="shared" si="53"/>
        <v>121914.86999999988</v>
      </c>
      <c r="V265" s="9">
        <f t="shared" si="53"/>
        <v>121914.86999999988</v>
      </c>
      <c r="W265" s="9">
        <f t="shared" si="53"/>
        <v>127215.51999999979</v>
      </c>
      <c r="X265" s="9">
        <f t="shared" si="53"/>
        <v>127215.51999999979</v>
      </c>
      <c r="Y265" s="9">
        <f t="shared" si="53"/>
        <v>127215.51999999979</v>
      </c>
      <c r="Z265" s="9">
        <f t="shared" si="53"/>
        <v>127215.51999999979</v>
      </c>
      <c r="AA265" s="67">
        <f t="shared" si="53"/>
        <v>0</v>
      </c>
    </row>
    <row r="266" spans="1:27" x14ac:dyDescent="0.2">
      <c r="B266" s="66" t="s">
        <v>40</v>
      </c>
      <c r="C266" s="9">
        <f t="shared" si="54"/>
        <v>0</v>
      </c>
      <c r="D266" s="9">
        <f t="shared" si="53"/>
        <v>0</v>
      </c>
      <c r="E266" s="9">
        <f t="shared" si="53"/>
        <v>-237426.60000000009</v>
      </c>
      <c r="F266" s="9">
        <f t="shared" si="53"/>
        <v>-237426.60000000009</v>
      </c>
      <c r="G266" s="9">
        <f t="shared" si="53"/>
        <v>-237426.60000000009</v>
      </c>
      <c r="H266" s="9">
        <f t="shared" si="53"/>
        <v>-237426.60000000009</v>
      </c>
      <c r="I266" s="9">
        <f t="shared" si="53"/>
        <v>-237426.60000000009</v>
      </c>
      <c r="J266" s="9">
        <f t="shared" si="53"/>
        <v>-237426.60000000009</v>
      </c>
      <c r="K266" s="9">
        <f t="shared" si="53"/>
        <v>-237426.60000000009</v>
      </c>
      <c r="L266" s="9">
        <f t="shared" si="53"/>
        <v>-237426.60000000009</v>
      </c>
      <c r="M266" s="9">
        <f t="shared" si="53"/>
        <v>-237426.60000000009</v>
      </c>
      <c r="N266" s="9">
        <f t="shared" si="53"/>
        <v>-237426.60000000009</v>
      </c>
      <c r="O266" s="9">
        <f t="shared" si="53"/>
        <v>-237426.60000000009</v>
      </c>
      <c r="P266" s="9">
        <f t="shared" si="53"/>
        <v>-237426.60000000009</v>
      </c>
      <c r="Q266" s="9">
        <f t="shared" si="53"/>
        <v>-237426.60000000009</v>
      </c>
      <c r="R266" s="9">
        <f t="shared" si="53"/>
        <v>-237426.60000000009</v>
      </c>
      <c r="S266" s="9">
        <f t="shared" si="53"/>
        <v>-237426.60000000009</v>
      </c>
      <c r="T266" s="9">
        <f t="shared" si="53"/>
        <v>-237426.60000000009</v>
      </c>
      <c r="U266" s="9">
        <f t="shared" si="53"/>
        <v>-237426.60000000009</v>
      </c>
      <c r="V266" s="9">
        <f t="shared" si="53"/>
        <v>-237426.60000000009</v>
      </c>
      <c r="W266" s="9">
        <f t="shared" si="53"/>
        <v>-237426.60000000009</v>
      </c>
      <c r="X266" s="9">
        <f t="shared" si="53"/>
        <v>-237426.60000000009</v>
      </c>
      <c r="Y266" s="9">
        <f t="shared" si="53"/>
        <v>-237426.60000000009</v>
      </c>
      <c r="Z266" s="9">
        <f t="shared" si="53"/>
        <v>-237426.60000000009</v>
      </c>
      <c r="AA266" s="67">
        <f t="shared" si="53"/>
        <v>-237426.60000000009</v>
      </c>
    </row>
    <row r="267" spans="1:27" x14ac:dyDescent="0.2">
      <c r="B267" s="66" t="s">
        <v>41</v>
      </c>
      <c r="C267" s="9">
        <f t="shared" si="54"/>
        <v>0</v>
      </c>
      <c r="D267" s="9">
        <f t="shared" si="53"/>
        <v>0</v>
      </c>
      <c r="E267" s="9">
        <f t="shared" si="53"/>
        <v>0</v>
      </c>
      <c r="F267" s="9">
        <f t="shared" si="53"/>
        <v>0</v>
      </c>
      <c r="G267" s="9">
        <f t="shared" si="53"/>
        <v>0</v>
      </c>
      <c r="H267" s="9">
        <f t="shared" si="53"/>
        <v>0</v>
      </c>
      <c r="I267" s="9">
        <f t="shared" si="53"/>
        <v>0</v>
      </c>
      <c r="J267" s="9">
        <f t="shared" si="53"/>
        <v>35207.419999999925</v>
      </c>
      <c r="K267" s="9">
        <f t="shared" si="53"/>
        <v>35207.419999999925</v>
      </c>
      <c r="L267" s="9">
        <f t="shared" si="53"/>
        <v>35207.419999999925</v>
      </c>
      <c r="M267" s="9">
        <f t="shared" si="53"/>
        <v>35207.419999999925</v>
      </c>
      <c r="N267" s="9">
        <f t="shared" si="53"/>
        <v>35207.419999999925</v>
      </c>
      <c r="O267" s="9">
        <f t="shared" si="53"/>
        <v>35207.419999999925</v>
      </c>
      <c r="P267" s="9">
        <f t="shared" si="53"/>
        <v>35207.419999999925</v>
      </c>
      <c r="Q267" s="9">
        <f t="shared" si="53"/>
        <v>35207.419999999925</v>
      </c>
      <c r="R267" s="9">
        <f t="shared" si="53"/>
        <v>35207.419999999925</v>
      </c>
      <c r="S267" s="9">
        <f t="shared" si="53"/>
        <v>35207.419999999925</v>
      </c>
      <c r="T267" s="9">
        <f t="shared" si="53"/>
        <v>35207.419999999925</v>
      </c>
      <c r="U267" s="9">
        <f t="shared" si="53"/>
        <v>35207.419999999925</v>
      </c>
      <c r="V267" s="9">
        <f t="shared" si="53"/>
        <v>35207.419999999925</v>
      </c>
      <c r="W267" s="9">
        <f t="shared" si="53"/>
        <v>35207.419999999925</v>
      </c>
      <c r="X267" s="9">
        <f t="shared" si="53"/>
        <v>35207.419999999925</v>
      </c>
      <c r="Y267" s="9">
        <f t="shared" si="53"/>
        <v>35207.419999999925</v>
      </c>
      <c r="Z267" s="9">
        <f t="shared" si="53"/>
        <v>35207.419999999925</v>
      </c>
      <c r="AA267" s="67">
        <f t="shared" si="53"/>
        <v>35207.419999999925</v>
      </c>
    </row>
    <row r="268" spans="1:27" x14ac:dyDescent="0.2">
      <c r="B268" s="66" t="s">
        <v>42</v>
      </c>
      <c r="C268" s="9">
        <f t="shared" si="54"/>
        <v>0</v>
      </c>
      <c r="D268" s="9">
        <f t="shared" si="53"/>
        <v>0</v>
      </c>
      <c r="E268" s="9">
        <f t="shared" si="53"/>
        <v>0</v>
      </c>
      <c r="F268" s="9">
        <f t="shared" si="53"/>
        <v>0</v>
      </c>
      <c r="G268" s="9">
        <f t="shared" si="53"/>
        <v>0</v>
      </c>
      <c r="H268" s="9">
        <f t="shared" si="53"/>
        <v>0</v>
      </c>
      <c r="I268" s="9">
        <f t="shared" si="53"/>
        <v>0</v>
      </c>
      <c r="J268" s="9">
        <f t="shared" si="53"/>
        <v>0</v>
      </c>
      <c r="K268" s="9">
        <f t="shared" si="53"/>
        <v>0</v>
      </c>
      <c r="L268" s="9">
        <f t="shared" si="53"/>
        <v>0</v>
      </c>
      <c r="M268" s="9">
        <f t="shared" si="53"/>
        <v>0</v>
      </c>
      <c r="N268" s="9">
        <f t="shared" si="53"/>
        <v>0</v>
      </c>
      <c r="O268" s="9">
        <f t="shared" si="53"/>
        <v>0</v>
      </c>
      <c r="P268" s="9">
        <f t="shared" si="53"/>
        <v>0</v>
      </c>
      <c r="Q268" s="9">
        <f t="shared" si="53"/>
        <v>0</v>
      </c>
      <c r="R268" s="9">
        <f t="shared" si="53"/>
        <v>0</v>
      </c>
      <c r="S268" s="9">
        <f t="shared" si="53"/>
        <v>0</v>
      </c>
      <c r="T268" s="9">
        <f t="shared" si="53"/>
        <v>0</v>
      </c>
      <c r="U268" s="9">
        <f t="shared" si="53"/>
        <v>0</v>
      </c>
      <c r="V268" s="9">
        <f t="shared" si="53"/>
        <v>0</v>
      </c>
      <c r="W268" s="9">
        <f t="shared" si="53"/>
        <v>0</v>
      </c>
      <c r="X268" s="9">
        <f t="shared" si="53"/>
        <v>0</v>
      </c>
      <c r="Y268" s="9">
        <f t="shared" si="53"/>
        <v>0</v>
      </c>
      <c r="Z268" s="9">
        <f t="shared" si="53"/>
        <v>0</v>
      </c>
      <c r="AA268" s="67">
        <f t="shared" si="53"/>
        <v>0</v>
      </c>
    </row>
    <row r="269" spans="1:27" x14ac:dyDescent="0.2">
      <c r="B269" s="66" t="s">
        <v>43</v>
      </c>
      <c r="C269" s="9">
        <f t="shared" si="54"/>
        <v>0</v>
      </c>
      <c r="D269" s="9">
        <f t="shared" si="53"/>
        <v>0</v>
      </c>
      <c r="E269" s="9">
        <f t="shared" si="53"/>
        <v>0</v>
      </c>
      <c r="F269" s="9">
        <f t="shared" si="53"/>
        <v>0</v>
      </c>
      <c r="G269" s="9">
        <f t="shared" si="53"/>
        <v>0</v>
      </c>
      <c r="H269" s="9">
        <f t="shared" si="53"/>
        <v>0</v>
      </c>
      <c r="I269" s="9">
        <f t="shared" si="53"/>
        <v>0</v>
      </c>
      <c r="J269" s="9">
        <f t="shared" si="53"/>
        <v>0</v>
      </c>
      <c r="K269" s="9">
        <f t="shared" si="53"/>
        <v>0</v>
      </c>
      <c r="L269" s="9">
        <f t="shared" si="53"/>
        <v>0</v>
      </c>
      <c r="M269" s="9">
        <f t="shared" si="53"/>
        <v>0</v>
      </c>
      <c r="N269" s="9">
        <f t="shared" si="53"/>
        <v>0</v>
      </c>
      <c r="O269" s="9">
        <f t="shared" si="53"/>
        <v>0</v>
      </c>
      <c r="P269" s="9">
        <f t="shared" si="53"/>
        <v>0</v>
      </c>
      <c r="Q269" s="9">
        <f t="shared" si="53"/>
        <v>0</v>
      </c>
      <c r="R269" s="9">
        <f t="shared" si="53"/>
        <v>0</v>
      </c>
      <c r="S269" s="9">
        <f t="shared" si="53"/>
        <v>0</v>
      </c>
      <c r="T269" s="9">
        <f t="shared" si="53"/>
        <v>0</v>
      </c>
      <c r="U269" s="9">
        <f t="shared" si="53"/>
        <v>0</v>
      </c>
      <c r="V269" s="9">
        <f t="shared" si="53"/>
        <v>0</v>
      </c>
      <c r="W269" s="9">
        <f t="shared" si="53"/>
        <v>0</v>
      </c>
      <c r="X269" s="9">
        <f t="shared" si="53"/>
        <v>0</v>
      </c>
      <c r="Y269" s="9">
        <f t="shared" si="53"/>
        <v>0</v>
      </c>
      <c r="Z269" s="9">
        <f t="shared" si="53"/>
        <v>0</v>
      </c>
      <c r="AA269" s="67">
        <f t="shared" si="53"/>
        <v>0</v>
      </c>
    </row>
    <row r="270" spans="1:27" x14ac:dyDescent="0.2">
      <c r="B270" s="66" t="s">
        <v>44</v>
      </c>
      <c r="C270" s="9">
        <f t="shared" si="54"/>
        <v>0</v>
      </c>
      <c r="D270" s="9">
        <f t="shared" si="53"/>
        <v>0</v>
      </c>
      <c r="E270" s="9">
        <f t="shared" si="53"/>
        <v>0</v>
      </c>
      <c r="F270" s="9">
        <f t="shared" si="53"/>
        <v>0</v>
      </c>
      <c r="G270" s="9">
        <f t="shared" si="53"/>
        <v>0</v>
      </c>
      <c r="H270" s="9">
        <f t="shared" si="53"/>
        <v>0</v>
      </c>
      <c r="I270" s="9">
        <f t="shared" si="53"/>
        <v>0</v>
      </c>
      <c r="J270" s="9">
        <f t="shared" si="53"/>
        <v>0</v>
      </c>
      <c r="K270" s="9">
        <f t="shared" si="53"/>
        <v>0</v>
      </c>
      <c r="L270" s="9">
        <f t="shared" si="53"/>
        <v>0</v>
      </c>
      <c r="M270" s="9">
        <f t="shared" si="53"/>
        <v>0</v>
      </c>
      <c r="N270" s="9">
        <f t="shared" si="53"/>
        <v>0</v>
      </c>
      <c r="O270" s="9">
        <f t="shared" si="53"/>
        <v>0</v>
      </c>
      <c r="P270" s="9">
        <f t="shared" si="53"/>
        <v>0</v>
      </c>
      <c r="Q270" s="9">
        <f t="shared" si="53"/>
        <v>0</v>
      </c>
      <c r="R270" s="9">
        <f t="shared" si="53"/>
        <v>0</v>
      </c>
      <c r="S270" s="9">
        <f t="shared" si="53"/>
        <v>0</v>
      </c>
      <c r="T270" s="9">
        <f t="shared" si="53"/>
        <v>0</v>
      </c>
      <c r="U270" s="9">
        <f t="shared" si="53"/>
        <v>0</v>
      </c>
      <c r="V270" s="9">
        <f t="shared" si="53"/>
        <v>0</v>
      </c>
      <c r="W270" s="9">
        <f t="shared" si="53"/>
        <v>0</v>
      </c>
      <c r="X270" s="9">
        <f t="shared" si="53"/>
        <v>0</v>
      </c>
      <c r="Y270" s="9">
        <f t="shared" si="53"/>
        <v>0</v>
      </c>
      <c r="Z270" s="9">
        <f t="shared" si="53"/>
        <v>0</v>
      </c>
      <c r="AA270" s="67">
        <f t="shared" si="53"/>
        <v>0</v>
      </c>
    </row>
    <row r="271" spans="1:27" x14ac:dyDescent="0.2">
      <c r="B271" s="66" t="s">
        <v>45</v>
      </c>
      <c r="C271" s="9">
        <f t="shared" si="54"/>
        <v>0</v>
      </c>
      <c r="D271" s="9">
        <f t="shared" si="53"/>
        <v>0</v>
      </c>
      <c r="E271" s="9">
        <f t="shared" si="53"/>
        <v>0</v>
      </c>
      <c r="F271" s="9">
        <f t="shared" si="53"/>
        <v>0</v>
      </c>
      <c r="G271" s="9">
        <f t="shared" si="53"/>
        <v>0</v>
      </c>
      <c r="H271" s="9">
        <f t="shared" si="53"/>
        <v>0</v>
      </c>
      <c r="I271" s="9">
        <f t="shared" si="53"/>
        <v>0</v>
      </c>
      <c r="J271" s="9">
        <f t="shared" si="53"/>
        <v>0</v>
      </c>
      <c r="K271" s="9">
        <f t="shared" si="53"/>
        <v>0</v>
      </c>
      <c r="L271" s="9">
        <f t="shared" si="53"/>
        <v>0</v>
      </c>
      <c r="M271" s="9">
        <f t="shared" si="53"/>
        <v>0</v>
      </c>
      <c r="N271" s="9">
        <f t="shared" si="53"/>
        <v>0</v>
      </c>
      <c r="O271" s="9">
        <f t="shared" si="53"/>
        <v>0</v>
      </c>
      <c r="P271" s="9">
        <f t="shared" si="53"/>
        <v>0</v>
      </c>
      <c r="Q271" s="9">
        <f t="shared" si="53"/>
        <v>0</v>
      </c>
      <c r="R271" s="9">
        <f t="shared" si="53"/>
        <v>0</v>
      </c>
      <c r="S271" s="9">
        <f t="shared" si="53"/>
        <v>0</v>
      </c>
      <c r="T271" s="9">
        <f t="shared" si="53"/>
        <v>0</v>
      </c>
      <c r="U271" s="9">
        <f t="shared" si="53"/>
        <v>0</v>
      </c>
      <c r="V271" s="9">
        <f t="shared" si="53"/>
        <v>0</v>
      </c>
      <c r="W271" s="9">
        <f t="shared" si="53"/>
        <v>0</v>
      </c>
      <c r="X271" s="9">
        <f t="shared" si="53"/>
        <v>0</v>
      </c>
      <c r="Y271" s="9">
        <f t="shared" si="53"/>
        <v>0</v>
      </c>
      <c r="Z271" s="9">
        <f t="shared" si="53"/>
        <v>0</v>
      </c>
      <c r="AA271" s="67">
        <f t="shared" si="53"/>
        <v>0</v>
      </c>
    </row>
    <row r="272" spans="1:27" x14ac:dyDescent="0.2">
      <c r="B272" s="66" t="s">
        <v>46</v>
      </c>
      <c r="C272" s="9">
        <f t="shared" si="54"/>
        <v>0</v>
      </c>
      <c r="D272" s="9">
        <f t="shared" si="53"/>
        <v>0</v>
      </c>
      <c r="E272" s="9">
        <f t="shared" si="53"/>
        <v>0</v>
      </c>
      <c r="F272" s="9">
        <f t="shared" si="53"/>
        <v>0</v>
      </c>
      <c r="G272" s="9">
        <f t="shared" si="53"/>
        <v>0</v>
      </c>
      <c r="H272" s="9">
        <f t="shared" si="53"/>
        <v>0</v>
      </c>
      <c r="I272" s="9">
        <f t="shared" si="53"/>
        <v>0</v>
      </c>
      <c r="J272" s="9">
        <f t="shared" si="53"/>
        <v>0</v>
      </c>
      <c r="K272" s="9">
        <f t="shared" si="53"/>
        <v>0</v>
      </c>
      <c r="L272" s="9">
        <f t="shared" si="53"/>
        <v>0</v>
      </c>
      <c r="M272" s="9">
        <f t="shared" si="53"/>
        <v>0</v>
      </c>
      <c r="N272" s="9">
        <f t="shared" si="53"/>
        <v>0</v>
      </c>
      <c r="O272" s="9">
        <f t="shared" si="53"/>
        <v>0</v>
      </c>
      <c r="P272" s="9">
        <f t="shared" si="53"/>
        <v>0</v>
      </c>
      <c r="Q272" s="9">
        <f t="shared" si="53"/>
        <v>0</v>
      </c>
      <c r="R272" s="9">
        <f t="shared" si="53"/>
        <v>0</v>
      </c>
      <c r="S272" s="9">
        <f t="shared" si="53"/>
        <v>0</v>
      </c>
      <c r="T272" s="9">
        <f t="shared" si="53"/>
        <v>0</v>
      </c>
      <c r="U272" s="9">
        <f t="shared" si="53"/>
        <v>0</v>
      </c>
      <c r="V272" s="9">
        <f t="shared" si="53"/>
        <v>0</v>
      </c>
      <c r="W272" s="9">
        <f t="shared" si="53"/>
        <v>0</v>
      </c>
      <c r="X272" s="9">
        <f t="shared" si="53"/>
        <v>0</v>
      </c>
      <c r="Y272" s="9">
        <f t="shared" si="53"/>
        <v>0</v>
      </c>
      <c r="Z272" s="9">
        <f t="shared" si="53"/>
        <v>0</v>
      </c>
      <c r="AA272" s="67">
        <f t="shared" si="53"/>
        <v>0</v>
      </c>
    </row>
    <row r="273" spans="2:27" x14ac:dyDescent="0.2">
      <c r="B273" s="63" t="s">
        <v>47</v>
      </c>
      <c r="C273" s="8">
        <f t="shared" si="54"/>
        <v>0</v>
      </c>
      <c r="D273" s="8">
        <f t="shared" si="53"/>
        <v>-106012.9299999997</v>
      </c>
      <c r="E273" s="8">
        <f t="shared" si="53"/>
        <v>131413.66999999806</v>
      </c>
      <c r="F273" s="8">
        <f t="shared" si="53"/>
        <v>131413.66999999806</v>
      </c>
      <c r="G273" s="8">
        <f t="shared" si="53"/>
        <v>131413.66999999806</v>
      </c>
      <c r="H273" s="8">
        <f t="shared" si="53"/>
        <v>126113.01999999955</v>
      </c>
      <c r="I273" s="8">
        <f t="shared" si="53"/>
        <v>126113.01999999955</v>
      </c>
      <c r="J273" s="8">
        <f t="shared" si="53"/>
        <v>90905.60000000149</v>
      </c>
      <c r="K273" s="8">
        <f t="shared" si="53"/>
        <v>90905.60000000149</v>
      </c>
      <c r="L273" s="8">
        <f t="shared" si="53"/>
        <v>90905.60000000149</v>
      </c>
      <c r="M273" s="8">
        <f t="shared" si="53"/>
        <v>85604.960000000894</v>
      </c>
      <c r="N273" s="8">
        <f t="shared" si="53"/>
        <v>85604.960000000894</v>
      </c>
      <c r="O273" s="8">
        <f t="shared" si="53"/>
        <v>85604.960000000894</v>
      </c>
      <c r="P273" s="8">
        <f t="shared" si="53"/>
        <v>85604.960000000894</v>
      </c>
      <c r="Q273" s="8">
        <f t="shared" si="53"/>
        <v>85604.960000000894</v>
      </c>
      <c r="R273" s="8">
        <f t="shared" si="53"/>
        <v>80304.309999998659</v>
      </c>
      <c r="S273" s="8">
        <f t="shared" si="53"/>
        <v>80304.309999998659</v>
      </c>
      <c r="T273" s="8">
        <f t="shared" si="53"/>
        <v>80304.309999998659</v>
      </c>
      <c r="U273" s="8">
        <f t="shared" si="53"/>
        <v>80304.309999998659</v>
      </c>
      <c r="V273" s="8">
        <f t="shared" si="53"/>
        <v>80304.309999998659</v>
      </c>
      <c r="W273" s="8">
        <f t="shared" si="53"/>
        <v>75003.660000000149</v>
      </c>
      <c r="X273" s="8">
        <f t="shared" si="53"/>
        <v>75003.660000000149</v>
      </c>
      <c r="Y273" s="8">
        <f t="shared" si="53"/>
        <v>75003.660000000149</v>
      </c>
      <c r="Z273" s="8">
        <f t="shared" si="53"/>
        <v>75003.660000000149</v>
      </c>
      <c r="AA273" s="65">
        <f t="shared" si="53"/>
        <v>202219.1799999997</v>
      </c>
    </row>
    <row r="274" spans="2:27" x14ac:dyDescent="0.2">
      <c r="B274" s="63" t="s">
        <v>48</v>
      </c>
      <c r="C274" s="8">
        <f t="shared" si="54"/>
        <v>0</v>
      </c>
      <c r="D274" s="8">
        <f t="shared" si="53"/>
        <v>0</v>
      </c>
      <c r="E274" s="8">
        <f t="shared" si="53"/>
        <v>58118.539999999979</v>
      </c>
      <c r="F274" s="8">
        <f t="shared" si="53"/>
        <v>58118.539999999979</v>
      </c>
      <c r="G274" s="8">
        <f t="shared" si="53"/>
        <v>58118.539999999979</v>
      </c>
      <c r="H274" s="8">
        <f t="shared" si="53"/>
        <v>58118.539999999979</v>
      </c>
      <c r="I274" s="8">
        <f t="shared" si="53"/>
        <v>58118.539999999979</v>
      </c>
      <c r="J274" s="8">
        <f t="shared" ref="D274:AA284" si="55">J244-J214</f>
        <v>58118.539999999979</v>
      </c>
      <c r="K274" s="8">
        <f t="shared" si="55"/>
        <v>58118.539999999979</v>
      </c>
      <c r="L274" s="8">
        <f t="shared" si="55"/>
        <v>58118.539999999979</v>
      </c>
      <c r="M274" s="8">
        <f t="shared" si="55"/>
        <v>58118.539999999979</v>
      </c>
      <c r="N274" s="8">
        <f t="shared" si="55"/>
        <v>58118.539999999979</v>
      </c>
      <c r="O274" s="8">
        <f t="shared" si="55"/>
        <v>58118.539999999979</v>
      </c>
      <c r="P274" s="8">
        <f t="shared" si="55"/>
        <v>58118.539999999979</v>
      </c>
      <c r="Q274" s="8">
        <f t="shared" si="55"/>
        <v>58118.539999999979</v>
      </c>
      <c r="R274" s="8">
        <f t="shared" si="55"/>
        <v>58118.539999999979</v>
      </c>
      <c r="S274" s="8">
        <f t="shared" si="55"/>
        <v>58118.539999999979</v>
      </c>
      <c r="T274" s="8">
        <f t="shared" si="55"/>
        <v>58118.539999999979</v>
      </c>
      <c r="U274" s="8">
        <f t="shared" si="55"/>
        <v>58118.539999999979</v>
      </c>
      <c r="V274" s="8">
        <f t="shared" si="55"/>
        <v>58118.539999999979</v>
      </c>
      <c r="W274" s="8">
        <f t="shared" si="55"/>
        <v>58118.539999999979</v>
      </c>
      <c r="X274" s="8">
        <f t="shared" si="55"/>
        <v>58118.539999999979</v>
      </c>
      <c r="Y274" s="8">
        <f t="shared" si="55"/>
        <v>58118.539999999979</v>
      </c>
      <c r="Z274" s="8">
        <f t="shared" si="55"/>
        <v>58118.539999999979</v>
      </c>
      <c r="AA274" s="65">
        <f t="shared" si="55"/>
        <v>58118.539999999979</v>
      </c>
    </row>
    <row r="275" spans="2:27" x14ac:dyDescent="0.2">
      <c r="B275" s="66" t="s">
        <v>49</v>
      </c>
      <c r="C275" s="9">
        <f t="shared" si="54"/>
        <v>0</v>
      </c>
      <c r="D275" s="9">
        <f t="shared" si="55"/>
        <v>0</v>
      </c>
      <c r="E275" s="9">
        <f t="shared" si="55"/>
        <v>0</v>
      </c>
      <c r="F275" s="9">
        <f t="shared" si="55"/>
        <v>0</v>
      </c>
      <c r="G275" s="9">
        <f t="shared" si="55"/>
        <v>0</v>
      </c>
      <c r="H275" s="9">
        <f t="shared" si="55"/>
        <v>0</v>
      </c>
      <c r="I275" s="9">
        <f t="shared" si="55"/>
        <v>0</v>
      </c>
      <c r="J275" s="9">
        <f t="shared" si="55"/>
        <v>0</v>
      </c>
      <c r="K275" s="9">
        <f t="shared" si="55"/>
        <v>0</v>
      </c>
      <c r="L275" s="9">
        <f t="shared" si="55"/>
        <v>0</v>
      </c>
      <c r="M275" s="9">
        <f t="shared" si="55"/>
        <v>0</v>
      </c>
      <c r="N275" s="9">
        <f t="shared" si="55"/>
        <v>0</v>
      </c>
      <c r="O275" s="9">
        <f t="shared" si="55"/>
        <v>0</v>
      </c>
      <c r="P275" s="9">
        <f t="shared" si="55"/>
        <v>0</v>
      </c>
      <c r="Q275" s="9">
        <f t="shared" si="55"/>
        <v>0</v>
      </c>
      <c r="R275" s="9">
        <f t="shared" si="55"/>
        <v>0</v>
      </c>
      <c r="S275" s="9">
        <f t="shared" si="55"/>
        <v>0</v>
      </c>
      <c r="T275" s="9">
        <f t="shared" si="55"/>
        <v>0</v>
      </c>
      <c r="U275" s="9">
        <f t="shared" si="55"/>
        <v>0</v>
      </c>
      <c r="V275" s="9">
        <f t="shared" si="55"/>
        <v>0</v>
      </c>
      <c r="W275" s="9">
        <f t="shared" si="55"/>
        <v>0</v>
      </c>
      <c r="X275" s="9">
        <f t="shared" si="55"/>
        <v>0</v>
      </c>
      <c r="Y275" s="9">
        <f t="shared" si="55"/>
        <v>0</v>
      </c>
      <c r="Z275" s="9">
        <f t="shared" si="55"/>
        <v>0</v>
      </c>
      <c r="AA275" s="67">
        <f t="shared" si="55"/>
        <v>0</v>
      </c>
    </row>
    <row r="276" spans="2:27" x14ac:dyDescent="0.2">
      <c r="B276" s="66" t="s">
        <v>50</v>
      </c>
      <c r="C276" s="9">
        <f t="shared" si="54"/>
        <v>0</v>
      </c>
      <c r="D276" s="9">
        <f t="shared" si="55"/>
        <v>0</v>
      </c>
      <c r="E276" s="9">
        <f t="shared" si="55"/>
        <v>58118.54</v>
      </c>
      <c r="F276" s="9">
        <f t="shared" si="55"/>
        <v>58118.54</v>
      </c>
      <c r="G276" s="9">
        <f t="shared" si="55"/>
        <v>58118.54</v>
      </c>
      <c r="H276" s="9">
        <f t="shared" si="55"/>
        <v>58118.54</v>
      </c>
      <c r="I276" s="9">
        <f t="shared" si="55"/>
        <v>58118.54</v>
      </c>
      <c r="J276" s="9">
        <f t="shared" si="55"/>
        <v>58118.54</v>
      </c>
      <c r="K276" s="9">
        <f t="shared" si="55"/>
        <v>58118.54</v>
      </c>
      <c r="L276" s="9">
        <f t="shared" si="55"/>
        <v>58118.54</v>
      </c>
      <c r="M276" s="9">
        <f t="shared" si="55"/>
        <v>58118.54</v>
      </c>
      <c r="N276" s="9">
        <f t="shared" si="55"/>
        <v>58118.54</v>
      </c>
      <c r="O276" s="9">
        <f t="shared" si="55"/>
        <v>58118.54</v>
      </c>
      <c r="P276" s="9">
        <f t="shared" si="55"/>
        <v>58118.54</v>
      </c>
      <c r="Q276" s="9">
        <f t="shared" si="55"/>
        <v>58118.54</v>
      </c>
      <c r="R276" s="9">
        <f t="shared" si="55"/>
        <v>58118.54</v>
      </c>
      <c r="S276" s="9">
        <f t="shared" si="55"/>
        <v>58118.54</v>
      </c>
      <c r="T276" s="9">
        <f t="shared" si="55"/>
        <v>58118.54</v>
      </c>
      <c r="U276" s="9">
        <f t="shared" si="55"/>
        <v>58118.54</v>
      </c>
      <c r="V276" s="9">
        <f t="shared" si="55"/>
        <v>58118.54</v>
      </c>
      <c r="W276" s="9">
        <f t="shared" si="55"/>
        <v>58118.54</v>
      </c>
      <c r="X276" s="9">
        <f t="shared" si="55"/>
        <v>58118.54</v>
      </c>
      <c r="Y276" s="9">
        <f t="shared" si="55"/>
        <v>58118.54</v>
      </c>
      <c r="Z276" s="9">
        <f t="shared" si="55"/>
        <v>58118.54</v>
      </c>
      <c r="AA276" s="67">
        <f t="shared" si="55"/>
        <v>58118.54</v>
      </c>
    </row>
    <row r="277" spans="2:27" x14ac:dyDescent="0.2">
      <c r="B277" s="66" t="s">
        <v>51</v>
      </c>
      <c r="C277" s="9">
        <f t="shared" si="54"/>
        <v>0</v>
      </c>
      <c r="D277" s="9">
        <f t="shared" si="55"/>
        <v>0</v>
      </c>
      <c r="E277" s="9">
        <f t="shared" si="55"/>
        <v>0</v>
      </c>
      <c r="F277" s="9">
        <f t="shared" si="55"/>
        <v>0</v>
      </c>
      <c r="G277" s="9">
        <f t="shared" si="55"/>
        <v>0</v>
      </c>
      <c r="H277" s="9">
        <f t="shared" si="55"/>
        <v>0</v>
      </c>
      <c r="I277" s="9">
        <f t="shared" si="55"/>
        <v>0</v>
      </c>
      <c r="J277" s="9">
        <f t="shared" si="55"/>
        <v>0</v>
      </c>
      <c r="K277" s="9">
        <f t="shared" si="55"/>
        <v>0</v>
      </c>
      <c r="L277" s="9">
        <f t="shared" si="55"/>
        <v>0</v>
      </c>
      <c r="M277" s="9">
        <f t="shared" si="55"/>
        <v>0</v>
      </c>
      <c r="N277" s="9">
        <f t="shared" si="55"/>
        <v>0</v>
      </c>
      <c r="O277" s="9">
        <f t="shared" si="55"/>
        <v>0</v>
      </c>
      <c r="P277" s="9">
        <f t="shared" si="55"/>
        <v>0</v>
      </c>
      <c r="Q277" s="9">
        <f t="shared" si="55"/>
        <v>0</v>
      </c>
      <c r="R277" s="9">
        <f t="shared" si="55"/>
        <v>0</v>
      </c>
      <c r="S277" s="9">
        <f t="shared" si="55"/>
        <v>0</v>
      </c>
      <c r="T277" s="9">
        <f t="shared" si="55"/>
        <v>0</v>
      </c>
      <c r="U277" s="9">
        <f t="shared" si="55"/>
        <v>0</v>
      </c>
      <c r="V277" s="9">
        <f t="shared" si="55"/>
        <v>0</v>
      </c>
      <c r="W277" s="9">
        <f t="shared" si="55"/>
        <v>0</v>
      </c>
      <c r="X277" s="9">
        <f t="shared" si="55"/>
        <v>0</v>
      </c>
      <c r="Y277" s="9">
        <f t="shared" si="55"/>
        <v>0</v>
      </c>
      <c r="Z277" s="9">
        <f t="shared" si="55"/>
        <v>0</v>
      </c>
      <c r="AA277" s="67">
        <f t="shared" si="55"/>
        <v>0</v>
      </c>
    </row>
    <row r="278" spans="2:27" x14ac:dyDescent="0.2">
      <c r="B278" s="63" t="s">
        <v>52</v>
      </c>
      <c r="C278" s="8">
        <f t="shared" si="54"/>
        <v>0</v>
      </c>
      <c r="D278" s="8">
        <f t="shared" si="55"/>
        <v>0</v>
      </c>
      <c r="E278" s="8">
        <f t="shared" si="55"/>
        <v>0</v>
      </c>
      <c r="F278" s="8">
        <f t="shared" si="55"/>
        <v>0</v>
      </c>
      <c r="G278" s="8">
        <f t="shared" si="55"/>
        <v>0</v>
      </c>
      <c r="H278" s="8">
        <f t="shared" si="55"/>
        <v>0</v>
      </c>
      <c r="I278" s="8">
        <f t="shared" si="55"/>
        <v>0</v>
      </c>
      <c r="J278" s="8">
        <f t="shared" si="55"/>
        <v>0</v>
      </c>
      <c r="K278" s="8">
        <f t="shared" si="55"/>
        <v>0</v>
      </c>
      <c r="L278" s="8">
        <f t="shared" si="55"/>
        <v>0</v>
      </c>
      <c r="M278" s="8">
        <f t="shared" si="55"/>
        <v>0</v>
      </c>
      <c r="N278" s="8">
        <f t="shared" si="55"/>
        <v>0</v>
      </c>
      <c r="O278" s="8">
        <f t="shared" si="55"/>
        <v>0</v>
      </c>
      <c r="P278" s="8">
        <f t="shared" si="55"/>
        <v>0</v>
      </c>
      <c r="Q278" s="8">
        <f t="shared" si="55"/>
        <v>0</v>
      </c>
      <c r="R278" s="8">
        <f t="shared" si="55"/>
        <v>0</v>
      </c>
      <c r="S278" s="8">
        <f t="shared" si="55"/>
        <v>0</v>
      </c>
      <c r="T278" s="8">
        <f t="shared" si="55"/>
        <v>0</v>
      </c>
      <c r="U278" s="8">
        <f t="shared" si="55"/>
        <v>0</v>
      </c>
      <c r="V278" s="8">
        <f t="shared" si="55"/>
        <v>0</v>
      </c>
      <c r="W278" s="8">
        <f t="shared" si="55"/>
        <v>0</v>
      </c>
      <c r="X278" s="8">
        <f t="shared" si="55"/>
        <v>0</v>
      </c>
      <c r="Y278" s="8">
        <f t="shared" si="55"/>
        <v>0</v>
      </c>
      <c r="Z278" s="8">
        <f t="shared" si="55"/>
        <v>0</v>
      </c>
      <c r="AA278" s="65">
        <f t="shared" si="55"/>
        <v>0</v>
      </c>
    </row>
    <row r="279" spans="2:27" x14ac:dyDescent="0.2">
      <c r="B279" s="63" t="s">
        <v>53</v>
      </c>
      <c r="C279" s="8">
        <f t="shared" si="54"/>
        <v>0</v>
      </c>
      <c r="D279" s="8">
        <f t="shared" si="55"/>
        <v>-106012.9299999997</v>
      </c>
      <c r="E279" s="8">
        <f t="shared" si="55"/>
        <v>189532.20999999807</v>
      </c>
      <c r="F279" s="8">
        <f t="shared" si="55"/>
        <v>189532.20999999807</v>
      </c>
      <c r="G279" s="8">
        <f t="shared" si="55"/>
        <v>189532.20999999807</v>
      </c>
      <c r="H279" s="8">
        <f t="shared" si="55"/>
        <v>184231.55999999956</v>
      </c>
      <c r="I279" s="8">
        <f t="shared" si="55"/>
        <v>184231.55999999956</v>
      </c>
      <c r="J279" s="8">
        <f t="shared" si="55"/>
        <v>149024.1400000015</v>
      </c>
      <c r="K279" s="8">
        <f t="shared" si="55"/>
        <v>149024.1400000015</v>
      </c>
      <c r="L279" s="8">
        <f t="shared" si="55"/>
        <v>149024.1400000015</v>
      </c>
      <c r="M279" s="8">
        <f t="shared" si="55"/>
        <v>143723.5000000009</v>
      </c>
      <c r="N279" s="8">
        <f t="shared" si="55"/>
        <v>143723.5000000009</v>
      </c>
      <c r="O279" s="8">
        <f t="shared" si="55"/>
        <v>143723.5000000009</v>
      </c>
      <c r="P279" s="8">
        <f t="shared" si="55"/>
        <v>143723.5000000009</v>
      </c>
      <c r="Q279" s="8">
        <f t="shared" si="55"/>
        <v>143723.5000000009</v>
      </c>
      <c r="R279" s="8">
        <f t="shared" si="55"/>
        <v>138422.84999999867</v>
      </c>
      <c r="S279" s="8">
        <f t="shared" si="55"/>
        <v>138422.84999999867</v>
      </c>
      <c r="T279" s="8">
        <f t="shared" si="55"/>
        <v>138422.84999999867</v>
      </c>
      <c r="U279" s="8">
        <f t="shared" si="55"/>
        <v>138422.84999999867</v>
      </c>
      <c r="V279" s="8">
        <f t="shared" si="55"/>
        <v>138422.84999999867</v>
      </c>
      <c r="W279" s="8">
        <f t="shared" si="55"/>
        <v>133122.20000000016</v>
      </c>
      <c r="X279" s="8">
        <f t="shared" si="55"/>
        <v>133122.20000000016</v>
      </c>
      <c r="Y279" s="8">
        <f t="shared" si="55"/>
        <v>133122.20000000016</v>
      </c>
      <c r="Z279" s="8">
        <f t="shared" si="55"/>
        <v>133122.20000000016</v>
      </c>
      <c r="AA279" s="65">
        <f t="shared" si="55"/>
        <v>260337.71999999971</v>
      </c>
    </row>
    <row r="280" spans="2:27" x14ac:dyDescent="0.2">
      <c r="B280" s="63" t="s">
        <v>54</v>
      </c>
      <c r="C280" s="8">
        <f t="shared" si="54"/>
        <v>0</v>
      </c>
      <c r="D280" s="8">
        <f t="shared" si="55"/>
        <v>0</v>
      </c>
      <c r="E280" s="8">
        <f t="shared" si="55"/>
        <v>0</v>
      </c>
      <c r="F280" s="8">
        <f t="shared" si="55"/>
        <v>0</v>
      </c>
      <c r="G280" s="8">
        <f t="shared" si="55"/>
        <v>0</v>
      </c>
      <c r="H280" s="8">
        <f t="shared" si="55"/>
        <v>0</v>
      </c>
      <c r="I280" s="8">
        <f t="shared" si="55"/>
        <v>0</v>
      </c>
      <c r="J280" s="8">
        <f t="shared" si="55"/>
        <v>0</v>
      </c>
      <c r="K280" s="8">
        <f t="shared" si="55"/>
        <v>0</v>
      </c>
      <c r="L280" s="8">
        <f t="shared" si="55"/>
        <v>0</v>
      </c>
      <c r="M280" s="8">
        <f t="shared" si="55"/>
        <v>0</v>
      </c>
      <c r="N280" s="8">
        <f t="shared" si="55"/>
        <v>0</v>
      </c>
      <c r="O280" s="8">
        <f t="shared" si="55"/>
        <v>0</v>
      </c>
      <c r="P280" s="8">
        <f t="shared" si="55"/>
        <v>0</v>
      </c>
      <c r="Q280" s="8">
        <f t="shared" si="55"/>
        <v>0</v>
      </c>
      <c r="R280" s="8">
        <f t="shared" si="55"/>
        <v>0</v>
      </c>
      <c r="S280" s="8">
        <f t="shared" si="55"/>
        <v>0</v>
      </c>
      <c r="T280" s="8">
        <f t="shared" si="55"/>
        <v>0</v>
      </c>
      <c r="U280" s="8">
        <f t="shared" si="55"/>
        <v>0</v>
      </c>
      <c r="V280" s="8">
        <f t="shared" si="55"/>
        <v>0</v>
      </c>
      <c r="W280" s="8">
        <f t="shared" si="55"/>
        <v>0</v>
      </c>
      <c r="X280" s="8">
        <f t="shared" si="55"/>
        <v>0</v>
      </c>
      <c r="Y280" s="8">
        <f t="shared" si="55"/>
        <v>0</v>
      </c>
      <c r="Z280" s="8">
        <f t="shared" si="55"/>
        <v>0</v>
      </c>
      <c r="AA280" s="65">
        <f t="shared" si="55"/>
        <v>0</v>
      </c>
    </row>
    <row r="281" spans="2:27" x14ac:dyDescent="0.2">
      <c r="B281" s="63" t="s">
        <v>55</v>
      </c>
      <c r="C281" s="8">
        <f t="shared" si="54"/>
        <v>0</v>
      </c>
      <c r="D281" s="8">
        <f t="shared" si="55"/>
        <v>0</v>
      </c>
      <c r="E281" s="8">
        <f t="shared" si="55"/>
        <v>0</v>
      </c>
      <c r="F281" s="8">
        <f t="shared" si="55"/>
        <v>0</v>
      </c>
      <c r="G281" s="8">
        <f t="shared" si="55"/>
        <v>0</v>
      </c>
      <c r="H281" s="8">
        <f t="shared" si="55"/>
        <v>0</v>
      </c>
      <c r="I281" s="8">
        <f t="shared" si="55"/>
        <v>0</v>
      </c>
      <c r="J281" s="8">
        <f t="shared" si="55"/>
        <v>0</v>
      </c>
      <c r="K281" s="8">
        <f t="shared" si="55"/>
        <v>0</v>
      </c>
      <c r="L281" s="8">
        <f t="shared" si="55"/>
        <v>0</v>
      </c>
      <c r="M281" s="8">
        <f t="shared" si="55"/>
        <v>0</v>
      </c>
      <c r="N281" s="8">
        <f t="shared" si="55"/>
        <v>0</v>
      </c>
      <c r="O281" s="8">
        <f t="shared" si="55"/>
        <v>0</v>
      </c>
      <c r="P281" s="8">
        <f t="shared" si="55"/>
        <v>0</v>
      </c>
      <c r="Q281" s="8">
        <f t="shared" si="55"/>
        <v>0</v>
      </c>
      <c r="R281" s="8">
        <f t="shared" si="55"/>
        <v>0</v>
      </c>
      <c r="S281" s="8">
        <f t="shared" si="55"/>
        <v>0</v>
      </c>
      <c r="T281" s="8">
        <f t="shared" si="55"/>
        <v>0</v>
      </c>
      <c r="U281" s="8">
        <f t="shared" si="55"/>
        <v>0</v>
      </c>
      <c r="V281" s="8">
        <f t="shared" si="55"/>
        <v>0</v>
      </c>
      <c r="W281" s="8">
        <f t="shared" si="55"/>
        <v>0</v>
      </c>
      <c r="X281" s="8">
        <f t="shared" si="55"/>
        <v>0</v>
      </c>
      <c r="Y281" s="8">
        <f t="shared" si="55"/>
        <v>0</v>
      </c>
      <c r="Z281" s="8">
        <f t="shared" si="55"/>
        <v>0</v>
      </c>
      <c r="AA281" s="65">
        <f t="shared" si="55"/>
        <v>0</v>
      </c>
    </row>
    <row r="282" spans="2:27" x14ac:dyDescent="0.2">
      <c r="B282" s="63" t="s">
        <v>56</v>
      </c>
      <c r="C282" s="8">
        <f t="shared" si="54"/>
        <v>0</v>
      </c>
      <c r="D282" s="8">
        <f t="shared" si="55"/>
        <v>-106012.92999999973</v>
      </c>
      <c r="E282" s="8">
        <f t="shared" si="55"/>
        <v>189532.20999999804</v>
      </c>
      <c r="F282" s="8">
        <f t="shared" si="55"/>
        <v>189532.20999999804</v>
      </c>
      <c r="G282" s="8">
        <f t="shared" si="55"/>
        <v>189532.20999999804</v>
      </c>
      <c r="H282" s="8">
        <f t="shared" si="55"/>
        <v>184231.55999999953</v>
      </c>
      <c r="I282" s="8">
        <f t="shared" si="55"/>
        <v>184231.55999999953</v>
      </c>
      <c r="J282" s="8">
        <f t="shared" si="55"/>
        <v>149024.14000000147</v>
      </c>
      <c r="K282" s="8">
        <f t="shared" si="55"/>
        <v>149024.14000000147</v>
      </c>
      <c r="L282" s="8">
        <f t="shared" si="55"/>
        <v>149024.14000000147</v>
      </c>
      <c r="M282" s="8">
        <f t="shared" si="55"/>
        <v>143723.50000000087</v>
      </c>
      <c r="N282" s="8">
        <f t="shared" si="55"/>
        <v>143723.50000000087</v>
      </c>
      <c r="O282" s="8">
        <f t="shared" si="55"/>
        <v>143723.50000000087</v>
      </c>
      <c r="P282" s="8">
        <f t="shared" si="55"/>
        <v>143723.50000000087</v>
      </c>
      <c r="Q282" s="8">
        <f t="shared" si="55"/>
        <v>143723.50000000087</v>
      </c>
      <c r="R282" s="8">
        <f t="shared" si="55"/>
        <v>138422.84999999864</v>
      </c>
      <c r="S282" s="8">
        <f t="shared" si="55"/>
        <v>138422.84999999864</v>
      </c>
      <c r="T282" s="8">
        <f t="shared" si="55"/>
        <v>138422.84999999864</v>
      </c>
      <c r="U282" s="8">
        <f t="shared" si="55"/>
        <v>138422.84999999864</v>
      </c>
      <c r="V282" s="8">
        <f t="shared" si="55"/>
        <v>138422.84999999864</v>
      </c>
      <c r="W282" s="8">
        <f t="shared" si="55"/>
        <v>133122.20000000013</v>
      </c>
      <c r="X282" s="8">
        <f t="shared" si="55"/>
        <v>133122.20000000013</v>
      </c>
      <c r="Y282" s="8">
        <f t="shared" si="55"/>
        <v>133122.20000000013</v>
      </c>
      <c r="Z282" s="8">
        <f t="shared" si="55"/>
        <v>133122.20000000013</v>
      </c>
      <c r="AA282" s="65">
        <f t="shared" si="55"/>
        <v>260337.71999999965</v>
      </c>
    </row>
    <row r="283" spans="2:27" x14ac:dyDescent="0.2">
      <c r="B283" s="63" t="s">
        <v>57</v>
      </c>
      <c r="C283" s="8">
        <f t="shared" si="54"/>
        <v>0</v>
      </c>
      <c r="D283" s="8">
        <f t="shared" si="55"/>
        <v>0</v>
      </c>
      <c r="E283" s="8">
        <f t="shared" si="55"/>
        <v>0</v>
      </c>
      <c r="F283" s="8">
        <f t="shared" si="55"/>
        <v>0</v>
      </c>
      <c r="G283" s="8">
        <f t="shared" si="55"/>
        <v>0</v>
      </c>
      <c r="H283" s="8">
        <f t="shared" si="55"/>
        <v>0</v>
      </c>
      <c r="I283" s="8">
        <f t="shared" si="55"/>
        <v>0</v>
      </c>
      <c r="J283" s="8">
        <f t="shared" si="55"/>
        <v>0</v>
      </c>
      <c r="K283" s="8">
        <f t="shared" si="55"/>
        <v>0</v>
      </c>
      <c r="L283" s="8">
        <f t="shared" si="55"/>
        <v>0</v>
      </c>
      <c r="M283" s="8">
        <f t="shared" si="55"/>
        <v>0</v>
      </c>
      <c r="N283" s="8">
        <f t="shared" si="55"/>
        <v>0</v>
      </c>
      <c r="O283" s="8">
        <f t="shared" si="55"/>
        <v>0</v>
      </c>
      <c r="P283" s="8">
        <f t="shared" si="55"/>
        <v>0</v>
      </c>
      <c r="Q283" s="8">
        <f t="shared" si="55"/>
        <v>0</v>
      </c>
      <c r="R283" s="8">
        <f t="shared" si="55"/>
        <v>0</v>
      </c>
      <c r="S283" s="8">
        <f t="shared" si="55"/>
        <v>0</v>
      </c>
      <c r="T283" s="8">
        <f t="shared" si="55"/>
        <v>0</v>
      </c>
      <c r="U283" s="8">
        <f t="shared" si="55"/>
        <v>0</v>
      </c>
      <c r="V283" s="8">
        <f t="shared" si="55"/>
        <v>0</v>
      </c>
      <c r="W283" s="8">
        <f t="shared" si="55"/>
        <v>0</v>
      </c>
      <c r="X283" s="8">
        <f t="shared" si="55"/>
        <v>0</v>
      </c>
      <c r="Y283" s="8">
        <f t="shared" si="55"/>
        <v>0</v>
      </c>
      <c r="Z283" s="8">
        <f t="shared" si="55"/>
        <v>0</v>
      </c>
      <c r="AA283" s="65">
        <f t="shared" si="55"/>
        <v>0</v>
      </c>
    </row>
    <row r="284" spans="2:27" x14ac:dyDescent="0.2">
      <c r="B284" s="63" t="s">
        <v>58</v>
      </c>
      <c r="C284" s="8">
        <f t="shared" si="54"/>
        <v>0</v>
      </c>
      <c r="D284" s="8">
        <f t="shared" si="55"/>
        <v>-106012.92999999973</v>
      </c>
      <c r="E284" s="8">
        <f t="shared" si="55"/>
        <v>189532.20999999804</v>
      </c>
      <c r="F284" s="8">
        <f t="shared" si="55"/>
        <v>189532.20999999804</v>
      </c>
      <c r="G284" s="8">
        <f t="shared" si="55"/>
        <v>189532.20999999804</v>
      </c>
      <c r="H284" s="8">
        <f t="shared" si="55"/>
        <v>184231.55999999953</v>
      </c>
      <c r="I284" s="8">
        <f t="shared" si="55"/>
        <v>184231.55999999953</v>
      </c>
      <c r="J284" s="8">
        <f t="shared" si="55"/>
        <v>149024.14000000147</v>
      </c>
      <c r="K284" s="8">
        <f t="shared" si="55"/>
        <v>149024.14000000147</v>
      </c>
      <c r="L284" s="8">
        <f t="shared" si="55"/>
        <v>149024.14000000147</v>
      </c>
      <c r="M284" s="8">
        <f t="shared" si="55"/>
        <v>143723.50000000087</v>
      </c>
      <c r="N284" s="8">
        <f t="shared" si="55"/>
        <v>143723.50000000087</v>
      </c>
      <c r="O284" s="8">
        <f t="shared" si="55"/>
        <v>143723.50000000087</v>
      </c>
      <c r="P284" s="8">
        <f t="shared" si="55"/>
        <v>143723.50000000087</v>
      </c>
      <c r="Q284" s="8">
        <f t="shared" si="55"/>
        <v>143723.50000000087</v>
      </c>
      <c r="R284" s="8">
        <f t="shared" si="55"/>
        <v>138422.84999999864</v>
      </c>
      <c r="S284" s="8">
        <f t="shared" si="55"/>
        <v>138422.84999999864</v>
      </c>
      <c r="T284" s="8">
        <f t="shared" si="55"/>
        <v>138422.84999999864</v>
      </c>
      <c r="U284" s="8">
        <f t="shared" si="55"/>
        <v>138422.84999999864</v>
      </c>
      <c r="V284" s="8">
        <f t="shared" si="55"/>
        <v>138422.84999999864</v>
      </c>
      <c r="W284" s="8">
        <f t="shared" si="55"/>
        <v>133122.20000000013</v>
      </c>
      <c r="X284" s="8">
        <f t="shared" si="55"/>
        <v>133122.20000000013</v>
      </c>
      <c r="Y284" s="8">
        <f t="shared" ref="D284:AA287" si="56">Y254-Y224</f>
        <v>133122.20000000013</v>
      </c>
      <c r="Z284" s="8">
        <f t="shared" si="56"/>
        <v>133122.20000000013</v>
      </c>
      <c r="AA284" s="65">
        <f t="shared" si="56"/>
        <v>260337.71999999965</v>
      </c>
    </row>
    <row r="285" spans="2:27" x14ac:dyDescent="0.2">
      <c r="B285" s="63" t="s">
        <v>59</v>
      </c>
      <c r="C285" s="8">
        <f t="shared" si="54"/>
        <v>0</v>
      </c>
      <c r="D285" s="8">
        <f t="shared" si="56"/>
        <v>0</v>
      </c>
      <c r="E285" s="8">
        <f t="shared" si="56"/>
        <v>0</v>
      </c>
      <c r="F285" s="8">
        <f t="shared" si="56"/>
        <v>0</v>
      </c>
      <c r="G285" s="8">
        <f t="shared" si="56"/>
        <v>0</v>
      </c>
      <c r="H285" s="8">
        <f t="shared" si="56"/>
        <v>0</v>
      </c>
      <c r="I285" s="8">
        <f t="shared" si="56"/>
        <v>0</v>
      </c>
      <c r="J285" s="8">
        <f t="shared" si="56"/>
        <v>0</v>
      </c>
      <c r="K285" s="8">
        <f t="shared" si="56"/>
        <v>0</v>
      </c>
      <c r="L285" s="8">
        <f t="shared" si="56"/>
        <v>0</v>
      </c>
      <c r="M285" s="8">
        <f t="shared" si="56"/>
        <v>0</v>
      </c>
      <c r="N285" s="8">
        <f t="shared" si="56"/>
        <v>0</v>
      </c>
      <c r="O285" s="8">
        <f t="shared" si="56"/>
        <v>0</v>
      </c>
      <c r="P285" s="8">
        <f t="shared" si="56"/>
        <v>0</v>
      </c>
      <c r="Q285" s="8">
        <f t="shared" si="56"/>
        <v>0</v>
      </c>
      <c r="R285" s="8">
        <f t="shared" si="56"/>
        <v>0</v>
      </c>
      <c r="S285" s="8">
        <f t="shared" si="56"/>
        <v>0</v>
      </c>
      <c r="T285" s="8">
        <f t="shared" si="56"/>
        <v>0</v>
      </c>
      <c r="U285" s="8">
        <f t="shared" si="56"/>
        <v>0</v>
      </c>
      <c r="V285" s="8">
        <f t="shared" si="56"/>
        <v>0</v>
      </c>
      <c r="W285" s="8">
        <f t="shared" si="56"/>
        <v>0</v>
      </c>
      <c r="X285" s="8">
        <f t="shared" si="56"/>
        <v>0</v>
      </c>
      <c r="Y285" s="8">
        <f t="shared" si="56"/>
        <v>0</v>
      </c>
      <c r="Z285" s="8">
        <f t="shared" si="56"/>
        <v>0</v>
      </c>
      <c r="AA285" s="65">
        <f t="shared" si="56"/>
        <v>0</v>
      </c>
    </row>
    <row r="286" spans="2:27" x14ac:dyDescent="0.2">
      <c r="B286" s="68" t="s">
        <v>60</v>
      </c>
      <c r="C286" s="8">
        <f t="shared" si="54"/>
        <v>0</v>
      </c>
      <c r="D286" s="8">
        <f t="shared" si="56"/>
        <v>0</v>
      </c>
      <c r="E286" s="8">
        <f t="shared" si="56"/>
        <v>0</v>
      </c>
      <c r="F286" s="8">
        <f t="shared" si="56"/>
        <v>0</v>
      </c>
      <c r="G286" s="8">
        <f t="shared" si="56"/>
        <v>0</v>
      </c>
      <c r="H286" s="8">
        <f t="shared" si="56"/>
        <v>0</v>
      </c>
      <c r="I286" s="8">
        <f t="shared" si="56"/>
        <v>0</v>
      </c>
      <c r="J286" s="8">
        <f t="shared" si="56"/>
        <v>0</v>
      </c>
      <c r="K286" s="8">
        <f t="shared" si="56"/>
        <v>0</v>
      </c>
      <c r="L286" s="8">
        <f t="shared" si="56"/>
        <v>0</v>
      </c>
      <c r="M286" s="8">
        <f t="shared" si="56"/>
        <v>0</v>
      </c>
      <c r="N286" s="8">
        <f t="shared" si="56"/>
        <v>0</v>
      </c>
      <c r="O286" s="8">
        <f t="shared" si="56"/>
        <v>0</v>
      </c>
      <c r="P286" s="8">
        <f t="shared" si="56"/>
        <v>0</v>
      </c>
      <c r="Q286" s="8">
        <f t="shared" si="56"/>
        <v>0</v>
      </c>
      <c r="R286" s="8">
        <f t="shared" si="56"/>
        <v>0</v>
      </c>
      <c r="S286" s="8">
        <f t="shared" si="56"/>
        <v>0</v>
      </c>
      <c r="T286" s="8">
        <f t="shared" si="56"/>
        <v>0</v>
      </c>
      <c r="U286" s="8">
        <f t="shared" si="56"/>
        <v>0</v>
      </c>
      <c r="V286" s="8">
        <f t="shared" si="56"/>
        <v>0</v>
      </c>
      <c r="W286" s="8">
        <f t="shared" si="56"/>
        <v>0</v>
      </c>
      <c r="X286" s="8">
        <f t="shared" si="56"/>
        <v>0</v>
      </c>
      <c r="Y286" s="8">
        <f t="shared" si="56"/>
        <v>0</v>
      </c>
      <c r="Z286" s="8">
        <f t="shared" si="56"/>
        <v>0</v>
      </c>
      <c r="AA286" s="65">
        <f t="shared" si="56"/>
        <v>0</v>
      </c>
    </row>
    <row r="287" spans="2:27" x14ac:dyDescent="0.2">
      <c r="B287" s="69" t="s">
        <v>61</v>
      </c>
      <c r="C287" s="70">
        <f t="shared" si="54"/>
        <v>0</v>
      </c>
      <c r="D287" s="70">
        <f t="shared" si="56"/>
        <v>-106012.92999999973</v>
      </c>
      <c r="E287" s="70">
        <f t="shared" si="56"/>
        <v>189532.20999999804</v>
      </c>
      <c r="F287" s="70">
        <f t="shared" si="56"/>
        <v>189532.20999999804</v>
      </c>
      <c r="G287" s="70">
        <f t="shared" si="56"/>
        <v>189532.20999999804</v>
      </c>
      <c r="H287" s="70">
        <f t="shared" si="56"/>
        <v>184231.55999999953</v>
      </c>
      <c r="I287" s="70">
        <f t="shared" si="56"/>
        <v>184231.55999999953</v>
      </c>
      <c r="J287" s="70">
        <f t="shared" si="56"/>
        <v>149024.14000000147</v>
      </c>
      <c r="K287" s="70">
        <f t="shared" si="56"/>
        <v>149024.14000000147</v>
      </c>
      <c r="L287" s="70">
        <f t="shared" si="56"/>
        <v>149024.14000000147</v>
      </c>
      <c r="M287" s="70">
        <f t="shared" si="56"/>
        <v>143723.50000000087</v>
      </c>
      <c r="N287" s="70">
        <f t="shared" si="56"/>
        <v>143723.50000000087</v>
      </c>
      <c r="O287" s="70">
        <f t="shared" si="56"/>
        <v>143723.50000000087</v>
      </c>
      <c r="P287" s="70">
        <f t="shared" si="56"/>
        <v>143723.50000000087</v>
      </c>
      <c r="Q287" s="70">
        <f t="shared" si="56"/>
        <v>143723.50000000087</v>
      </c>
      <c r="R287" s="70">
        <f t="shared" si="56"/>
        <v>138422.84999999864</v>
      </c>
      <c r="S287" s="70">
        <f t="shared" si="56"/>
        <v>138422.84999999864</v>
      </c>
      <c r="T287" s="70">
        <f t="shared" si="56"/>
        <v>138422.84999999864</v>
      </c>
      <c r="U287" s="70">
        <f t="shared" si="56"/>
        <v>138422.84999999864</v>
      </c>
      <c r="V287" s="70">
        <f t="shared" si="56"/>
        <v>138422.84999999864</v>
      </c>
      <c r="W287" s="70">
        <f t="shared" si="56"/>
        <v>133122.20000000013</v>
      </c>
      <c r="X287" s="70">
        <f t="shared" si="56"/>
        <v>133122.20000000013</v>
      </c>
      <c r="Y287" s="70">
        <f t="shared" si="56"/>
        <v>133122.20000000013</v>
      </c>
      <c r="Z287" s="70">
        <f t="shared" si="56"/>
        <v>133122.20000000013</v>
      </c>
      <c r="AA287" s="71">
        <f t="shared" si="56"/>
        <v>260337.71999999965</v>
      </c>
    </row>
    <row r="292" spans="1:27" x14ac:dyDescent="0.2">
      <c r="A292" s="7" t="s">
        <v>228</v>
      </c>
      <c r="B292" s="7" t="s">
        <v>174</v>
      </c>
    </row>
    <row r="293" spans="1:27" x14ac:dyDescent="0.2">
      <c r="A293" s="113"/>
      <c r="B293" s="114" t="s">
        <v>175</v>
      </c>
      <c r="C293" s="11">
        <f t="shared" ref="C293:AA293" si="57">C$160</f>
        <v>2016</v>
      </c>
      <c r="D293" s="11">
        <f t="shared" si="57"/>
        <v>2017</v>
      </c>
      <c r="E293" s="11">
        <f t="shared" si="57"/>
        <v>2018</v>
      </c>
      <c r="F293" s="11">
        <f t="shared" si="57"/>
        <v>2019</v>
      </c>
      <c r="G293" s="11">
        <f t="shared" si="57"/>
        <v>2020</v>
      </c>
      <c r="H293" s="11">
        <f t="shared" si="57"/>
        <v>2021</v>
      </c>
      <c r="I293" s="11">
        <f t="shared" si="57"/>
        <v>2022</v>
      </c>
      <c r="J293" s="11">
        <f t="shared" si="57"/>
        <v>2023</v>
      </c>
      <c r="K293" s="11">
        <f t="shared" si="57"/>
        <v>2024</v>
      </c>
      <c r="L293" s="11">
        <f t="shared" si="57"/>
        <v>2025</v>
      </c>
      <c r="M293" s="11">
        <f t="shared" si="57"/>
        <v>2026</v>
      </c>
      <c r="N293" s="11">
        <f t="shared" si="57"/>
        <v>2027</v>
      </c>
      <c r="O293" s="11">
        <f t="shared" si="57"/>
        <v>2028</v>
      </c>
      <c r="P293" s="11">
        <f t="shared" si="57"/>
        <v>2029</v>
      </c>
      <c r="Q293" s="11">
        <f t="shared" si="57"/>
        <v>2030</v>
      </c>
      <c r="R293" s="11">
        <f t="shared" si="57"/>
        <v>2031</v>
      </c>
      <c r="S293" s="11">
        <f t="shared" si="57"/>
        <v>2032</v>
      </c>
      <c r="T293" s="11">
        <f t="shared" si="57"/>
        <v>2033</v>
      </c>
      <c r="U293" s="11">
        <f t="shared" si="57"/>
        <v>2034</v>
      </c>
      <c r="V293" s="11">
        <f t="shared" si="57"/>
        <v>2035</v>
      </c>
      <c r="W293" s="11">
        <f t="shared" si="57"/>
        <v>2036</v>
      </c>
      <c r="X293" s="11">
        <f t="shared" si="57"/>
        <v>2037</v>
      </c>
      <c r="Y293" s="11">
        <f t="shared" si="57"/>
        <v>2038</v>
      </c>
      <c r="Z293" s="11">
        <f t="shared" si="57"/>
        <v>2039</v>
      </c>
      <c r="AA293" s="12">
        <f t="shared" si="57"/>
        <v>2040</v>
      </c>
    </row>
    <row r="294" spans="1:27" x14ac:dyDescent="0.2">
      <c r="B294" s="68" t="s">
        <v>144</v>
      </c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8"/>
    </row>
    <row r="295" spans="1:27" x14ac:dyDescent="0.2">
      <c r="B295" s="68" t="s">
        <v>145</v>
      </c>
      <c r="C295" s="43">
        <f>C227</f>
        <v>59827.620000000898</v>
      </c>
      <c r="D295" s="43">
        <f t="shared" ref="D295:X295" si="58">D227</f>
        <v>59827.620000000898</v>
      </c>
      <c r="E295" s="43">
        <f t="shared" si="58"/>
        <v>59827.620000000898</v>
      </c>
      <c r="F295" s="43">
        <f t="shared" si="58"/>
        <v>59827.620000000898</v>
      </c>
      <c r="G295" s="43">
        <f t="shared" si="58"/>
        <v>59827.620000000898</v>
      </c>
      <c r="H295" s="43">
        <f t="shared" si="58"/>
        <v>59827.620000000898</v>
      </c>
      <c r="I295" s="43">
        <f t="shared" si="58"/>
        <v>59827.620000000898</v>
      </c>
      <c r="J295" s="43">
        <f t="shared" si="58"/>
        <v>59827.620000000898</v>
      </c>
      <c r="K295" s="43">
        <f t="shared" si="58"/>
        <v>59827.620000000898</v>
      </c>
      <c r="L295" s="43">
        <f t="shared" si="58"/>
        <v>59827.620000000898</v>
      </c>
      <c r="M295" s="43">
        <f t="shared" si="58"/>
        <v>59827.620000000898</v>
      </c>
      <c r="N295" s="43">
        <f t="shared" si="58"/>
        <v>59827.620000000898</v>
      </c>
      <c r="O295" s="43">
        <f t="shared" si="58"/>
        <v>59827.620000000898</v>
      </c>
      <c r="P295" s="43">
        <f t="shared" si="58"/>
        <v>59827.620000000898</v>
      </c>
      <c r="Q295" s="43">
        <f t="shared" si="58"/>
        <v>59827.620000000898</v>
      </c>
      <c r="R295" s="43">
        <f t="shared" si="58"/>
        <v>59827.620000000898</v>
      </c>
      <c r="S295" s="43">
        <f t="shared" si="58"/>
        <v>59827.620000000898</v>
      </c>
      <c r="T295" s="43">
        <f t="shared" si="58"/>
        <v>59827.620000000898</v>
      </c>
      <c r="U295" s="43">
        <f t="shared" si="58"/>
        <v>59827.620000000898</v>
      </c>
      <c r="V295" s="43">
        <f t="shared" si="58"/>
        <v>59827.620000000898</v>
      </c>
      <c r="W295" s="43">
        <f t="shared" si="58"/>
        <v>59827.620000000898</v>
      </c>
      <c r="X295" s="43">
        <f t="shared" si="58"/>
        <v>59827.620000000898</v>
      </c>
      <c r="Y295" s="43">
        <f>Y227</f>
        <v>59827.620000000898</v>
      </c>
      <c r="Z295" s="43">
        <f t="shared" ref="Z295" si="59">Z227</f>
        <v>59827.620000000898</v>
      </c>
      <c r="AA295" s="61">
        <f>AA227</f>
        <v>59827.620000000898</v>
      </c>
    </row>
    <row r="296" spans="1:27" x14ac:dyDescent="0.2">
      <c r="B296" s="68" t="s">
        <v>146</v>
      </c>
      <c r="C296" s="8">
        <f>SUM(C297:C306)</f>
        <v>2065713.28</v>
      </c>
      <c r="D296" s="8">
        <f t="shared" ref="D296:X296" si="60">SUM(D297:D306)</f>
        <v>2065713.28</v>
      </c>
      <c r="E296" s="8">
        <f t="shared" si="60"/>
        <v>2065713.28</v>
      </c>
      <c r="F296" s="8">
        <f t="shared" si="60"/>
        <v>2065713.28</v>
      </c>
      <c r="G296" s="8">
        <f t="shared" si="60"/>
        <v>2065713.28</v>
      </c>
      <c r="H296" s="8">
        <f t="shared" si="60"/>
        <v>2065713.28</v>
      </c>
      <c r="I296" s="8">
        <f t="shared" si="60"/>
        <v>2065713.28</v>
      </c>
      <c r="J296" s="8">
        <f t="shared" si="60"/>
        <v>2065713.28</v>
      </c>
      <c r="K296" s="8">
        <f t="shared" si="60"/>
        <v>2065713.28</v>
      </c>
      <c r="L296" s="8">
        <f t="shared" si="60"/>
        <v>2065713.28</v>
      </c>
      <c r="M296" s="8">
        <f t="shared" si="60"/>
        <v>2065713.28</v>
      </c>
      <c r="N296" s="8">
        <f t="shared" si="60"/>
        <v>2065713.28</v>
      </c>
      <c r="O296" s="8">
        <f t="shared" si="60"/>
        <v>2065713.28</v>
      </c>
      <c r="P296" s="8">
        <f t="shared" si="60"/>
        <v>2065713.28</v>
      </c>
      <c r="Q296" s="8">
        <f t="shared" si="60"/>
        <v>2065713.28</v>
      </c>
      <c r="R296" s="8">
        <f t="shared" si="60"/>
        <v>2065713.28</v>
      </c>
      <c r="S296" s="8">
        <f t="shared" si="60"/>
        <v>2065713.28</v>
      </c>
      <c r="T296" s="8">
        <f t="shared" si="60"/>
        <v>2065713.28</v>
      </c>
      <c r="U296" s="8">
        <f t="shared" si="60"/>
        <v>2065713.28</v>
      </c>
      <c r="V296" s="8">
        <f t="shared" si="60"/>
        <v>2065713.28</v>
      </c>
      <c r="W296" s="8">
        <f t="shared" si="60"/>
        <v>2065713.28</v>
      </c>
      <c r="X296" s="8">
        <f t="shared" si="60"/>
        <v>2065713.28</v>
      </c>
      <c r="Y296" s="8">
        <f>SUM(Y297:Y306)</f>
        <v>2065713.28</v>
      </c>
      <c r="Z296" s="8">
        <f t="shared" ref="Z296" si="61">SUM(Z297:Z306)</f>
        <v>2065713.28</v>
      </c>
      <c r="AA296" s="65">
        <f>SUM(AA297:AA306)</f>
        <v>2065713.28</v>
      </c>
    </row>
    <row r="297" spans="1:27" x14ac:dyDescent="0.2">
      <c r="B297" s="115" t="s">
        <v>120</v>
      </c>
      <c r="C297" s="116">
        <f>C205</f>
        <v>2065713.28</v>
      </c>
      <c r="D297" s="116">
        <f t="shared" ref="D297:X297" si="62">D205</f>
        <v>2065713.28</v>
      </c>
      <c r="E297" s="116">
        <f t="shared" si="62"/>
        <v>2065713.28</v>
      </c>
      <c r="F297" s="116">
        <f t="shared" si="62"/>
        <v>2065713.28</v>
      </c>
      <c r="G297" s="116">
        <f t="shared" si="62"/>
        <v>2065713.28</v>
      </c>
      <c r="H297" s="116">
        <f t="shared" si="62"/>
        <v>2065713.28</v>
      </c>
      <c r="I297" s="116">
        <f t="shared" si="62"/>
        <v>2065713.28</v>
      </c>
      <c r="J297" s="116">
        <f t="shared" si="62"/>
        <v>2065713.28</v>
      </c>
      <c r="K297" s="116">
        <f t="shared" si="62"/>
        <v>2065713.28</v>
      </c>
      <c r="L297" s="116">
        <f t="shared" si="62"/>
        <v>2065713.28</v>
      </c>
      <c r="M297" s="116">
        <f t="shared" si="62"/>
        <v>2065713.28</v>
      </c>
      <c r="N297" s="116">
        <f t="shared" si="62"/>
        <v>2065713.28</v>
      </c>
      <c r="O297" s="116">
        <f t="shared" si="62"/>
        <v>2065713.28</v>
      </c>
      <c r="P297" s="116">
        <f t="shared" si="62"/>
        <v>2065713.28</v>
      </c>
      <c r="Q297" s="116">
        <f t="shared" si="62"/>
        <v>2065713.28</v>
      </c>
      <c r="R297" s="116">
        <f t="shared" si="62"/>
        <v>2065713.28</v>
      </c>
      <c r="S297" s="116">
        <f t="shared" si="62"/>
        <v>2065713.28</v>
      </c>
      <c r="T297" s="116">
        <f t="shared" si="62"/>
        <v>2065713.28</v>
      </c>
      <c r="U297" s="116">
        <f t="shared" si="62"/>
        <v>2065713.28</v>
      </c>
      <c r="V297" s="116">
        <f t="shared" si="62"/>
        <v>2065713.28</v>
      </c>
      <c r="W297" s="116">
        <f t="shared" si="62"/>
        <v>2065713.28</v>
      </c>
      <c r="X297" s="116">
        <f t="shared" si="62"/>
        <v>2065713.28</v>
      </c>
      <c r="Y297" s="116">
        <f>Y205</f>
        <v>2065713.28</v>
      </c>
      <c r="Z297" s="116">
        <f t="shared" ref="Z297" si="63">Z205</f>
        <v>2065713.28</v>
      </c>
      <c r="AA297" s="117">
        <f>AA205</f>
        <v>2065713.28</v>
      </c>
    </row>
    <row r="298" spans="1:27" x14ac:dyDescent="0.2">
      <c r="B298" s="115" t="s">
        <v>147</v>
      </c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7"/>
    </row>
    <row r="299" spans="1:27" x14ac:dyDescent="0.2">
      <c r="B299" s="115" t="s">
        <v>148</v>
      </c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7"/>
    </row>
    <row r="300" spans="1:27" x14ac:dyDescent="0.2">
      <c r="B300" s="115" t="s">
        <v>149</v>
      </c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7"/>
    </row>
    <row r="301" spans="1:27" x14ac:dyDescent="0.2">
      <c r="B301" s="115" t="s">
        <v>150</v>
      </c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7"/>
    </row>
    <row r="302" spans="1:27" x14ac:dyDescent="0.2">
      <c r="B302" s="115" t="s">
        <v>151</v>
      </c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7"/>
    </row>
    <row r="303" spans="1:27" x14ac:dyDescent="0.2">
      <c r="B303" s="115" t="s">
        <v>152</v>
      </c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7"/>
    </row>
    <row r="304" spans="1:27" x14ac:dyDescent="0.2">
      <c r="B304" s="115" t="s">
        <v>153</v>
      </c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7"/>
    </row>
    <row r="305" spans="2:27" x14ac:dyDescent="0.2">
      <c r="B305" s="115" t="s">
        <v>154</v>
      </c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7"/>
    </row>
    <row r="306" spans="2:27" x14ac:dyDescent="0.2">
      <c r="B306" s="115" t="s">
        <v>155</v>
      </c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7"/>
    </row>
    <row r="307" spans="2:27" x14ac:dyDescent="0.2">
      <c r="B307" s="68" t="s">
        <v>156</v>
      </c>
      <c r="C307" s="8">
        <f>C296+C295</f>
        <v>2125540.9000000008</v>
      </c>
      <c r="D307" s="8">
        <f t="shared" ref="D307:X307" si="64">D296+D295</f>
        <v>2125540.9000000008</v>
      </c>
      <c r="E307" s="8">
        <f t="shared" si="64"/>
        <v>2125540.9000000008</v>
      </c>
      <c r="F307" s="8">
        <f t="shared" si="64"/>
        <v>2125540.9000000008</v>
      </c>
      <c r="G307" s="8">
        <f t="shared" si="64"/>
        <v>2125540.9000000008</v>
      </c>
      <c r="H307" s="8">
        <f t="shared" si="64"/>
        <v>2125540.9000000008</v>
      </c>
      <c r="I307" s="8">
        <f t="shared" si="64"/>
        <v>2125540.9000000008</v>
      </c>
      <c r="J307" s="8">
        <f t="shared" si="64"/>
        <v>2125540.9000000008</v>
      </c>
      <c r="K307" s="8">
        <f t="shared" si="64"/>
        <v>2125540.9000000008</v>
      </c>
      <c r="L307" s="8">
        <f t="shared" si="64"/>
        <v>2125540.9000000008</v>
      </c>
      <c r="M307" s="8">
        <f t="shared" si="64"/>
        <v>2125540.9000000008</v>
      </c>
      <c r="N307" s="8">
        <f t="shared" si="64"/>
        <v>2125540.9000000008</v>
      </c>
      <c r="O307" s="8">
        <f t="shared" si="64"/>
        <v>2125540.9000000008</v>
      </c>
      <c r="P307" s="8">
        <f t="shared" si="64"/>
        <v>2125540.9000000008</v>
      </c>
      <c r="Q307" s="8">
        <f t="shared" si="64"/>
        <v>2125540.9000000008</v>
      </c>
      <c r="R307" s="8">
        <f t="shared" si="64"/>
        <v>2125540.9000000008</v>
      </c>
      <c r="S307" s="8">
        <f t="shared" si="64"/>
        <v>2125540.9000000008</v>
      </c>
      <c r="T307" s="8">
        <f t="shared" si="64"/>
        <v>2125540.9000000008</v>
      </c>
      <c r="U307" s="8">
        <f t="shared" si="64"/>
        <v>2125540.9000000008</v>
      </c>
      <c r="V307" s="8">
        <f t="shared" si="64"/>
        <v>2125540.9000000008</v>
      </c>
      <c r="W307" s="8">
        <f t="shared" si="64"/>
        <v>2125540.9000000008</v>
      </c>
      <c r="X307" s="8">
        <f t="shared" si="64"/>
        <v>2125540.9000000008</v>
      </c>
      <c r="Y307" s="8">
        <f>Y296+Y295</f>
        <v>2125540.9000000008</v>
      </c>
      <c r="Z307" s="8">
        <f t="shared" ref="Z307" si="65">Z296+Z295</f>
        <v>2125540.9000000008</v>
      </c>
      <c r="AA307" s="65">
        <f>AA296+AA295</f>
        <v>2125540.9000000008</v>
      </c>
    </row>
    <row r="308" spans="2:27" x14ac:dyDescent="0.2">
      <c r="B308" s="68" t="s">
        <v>157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67"/>
    </row>
    <row r="309" spans="2:27" x14ac:dyDescent="0.2">
      <c r="B309" s="118" t="s">
        <v>158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7"/>
    </row>
    <row r="310" spans="2:27" x14ac:dyDescent="0.2">
      <c r="B310" s="118" t="s">
        <v>159</v>
      </c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7"/>
    </row>
    <row r="311" spans="2:27" x14ac:dyDescent="0.2">
      <c r="B311" s="68" t="s">
        <v>160</v>
      </c>
      <c r="C311" s="8">
        <f>C309-C310</f>
        <v>0</v>
      </c>
      <c r="D311" s="8">
        <f t="shared" ref="D311:X311" si="66">D309-D310</f>
        <v>0</v>
      </c>
      <c r="E311" s="8">
        <f t="shared" si="66"/>
        <v>0</v>
      </c>
      <c r="F311" s="8">
        <f t="shared" si="66"/>
        <v>0</v>
      </c>
      <c r="G311" s="8">
        <f t="shared" si="66"/>
        <v>0</v>
      </c>
      <c r="H311" s="8">
        <f t="shared" si="66"/>
        <v>0</v>
      </c>
      <c r="I311" s="8">
        <f t="shared" si="66"/>
        <v>0</v>
      </c>
      <c r="J311" s="8">
        <f t="shared" si="66"/>
        <v>0</v>
      </c>
      <c r="K311" s="8">
        <f t="shared" si="66"/>
        <v>0</v>
      </c>
      <c r="L311" s="8">
        <f t="shared" si="66"/>
        <v>0</v>
      </c>
      <c r="M311" s="8">
        <f t="shared" si="66"/>
        <v>0</v>
      </c>
      <c r="N311" s="8">
        <f t="shared" si="66"/>
        <v>0</v>
      </c>
      <c r="O311" s="8">
        <f t="shared" si="66"/>
        <v>0</v>
      </c>
      <c r="P311" s="8">
        <f t="shared" si="66"/>
        <v>0</v>
      </c>
      <c r="Q311" s="8">
        <f t="shared" si="66"/>
        <v>0</v>
      </c>
      <c r="R311" s="8">
        <f t="shared" si="66"/>
        <v>0</v>
      </c>
      <c r="S311" s="8">
        <f t="shared" si="66"/>
        <v>0</v>
      </c>
      <c r="T311" s="8">
        <f t="shared" si="66"/>
        <v>0</v>
      </c>
      <c r="U311" s="8">
        <f t="shared" si="66"/>
        <v>0</v>
      </c>
      <c r="V311" s="8">
        <f t="shared" si="66"/>
        <v>0</v>
      </c>
      <c r="W311" s="8">
        <f t="shared" si="66"/>
        <v>0</v>
      </c>
      <c r="X311" s="8">
        <f t="shared" si="66"/>
        <v>0</v>
      </c>
      <c r="Y311" s="8">
        <f>Y309-Y310</f>
        <v>0</v>
      </c>
      <c r="Z311" s="8">
        <f t="shared" ref="Z311" si="67">Z309-Z310</f>
        <v>0</v>
      </c>
      <c r="AA311" s="65">
        <f>AA309-AA310</f>
        <v>0</v>
      </c>
    </row>
    <row r="312" spans="2:27" x14ac:dyDescent="0.2">
      <c r="B312" s="68" t="s">
        <v>161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65"/>
    </row>
    <row r="313" spans="2:27" x14ac:dyDescent="0.2">
      <c r="B313" s="118" t="s">
        <v>158</v>
      </c>
      <c r="C313" s="9">
        <f>SUM(C314:C318)</f>
        <v>0</v>
      </c>
      <c r="D313" s="9">
        <f t="shared" ref="D313:X313" si="68">SUM(D314:D318)</f>
        <v>0</v>
      </c>
      <c r="E313" s="9">
        <f t="shared" si="68"/>
        <v>0</v>
      </c>
      <c r="F313" s="9">
        <f t="shared" si="68"/>
        <v>0</v>
      </c>
      <c r="G313" s="9">
        <f t="shared" si="68"/>
        <v>0</v>
      </c>
      <c r="H313" s="9">
        <f t="shared" si="68"/>
        <v>0</v>
      </c>
      <c r="I313" s="9">
        <f t="shared" si="68"/>
        <v>0</v>
      </c>
      <c r="J313" s="9">
        <f t="shared" si="68"/>
        <v>0</v>
      </c>
      <c r="K313" s="9">
        <f t="shared" si="68"/>
        <v>0</v>
      </c>
      <c r="L313" s="9">
        <f t="shared" si="68"/>
        <v>0</v>
      </c>
      <c r="M313" s="9">
        <f t="shared" si="68"/>
        <v>0</v>
      </c>
      <c r="N313" s="9">
        <f t="shared" si="68"/>
        <v>0</v>
      </c>
      <c r="O313" s="9">
        <f t="shared" si="68"/>
        <v>0</v>
      </c>
      <c r="P313" s="9">
        <f t="shared" si="68"/>
        <v>0</v>
      </c>
      <c r="Q313" s="9">
        <f t="shared" si="68"/>
        <v>0</v>
      </c>
      <c r="R313" s="9">
        <f t="shared" si="68"/>
        <v>0</v>
      </c>
      <c r="S313" s="9">
        <f t="shared" si="68"/>
        <v>0</v>
      </c>
      <c r="T313" s="9">
        <f t="shared" si="68"/>
        <v>0</v>
      </c>
      <c r="U313" s="9">
        <f t="shared" si="68"/>
        <v>0</v>
      </c>
      <c r="V313" s="9">
        <f t="shared" si="68"/>
        <v>0</v>
      </c>
      <c r="W313" s="9">
        <f t="shared" si="68"/>
        <v>0</v>
      </c>
      <c r="X313" s="9">
        <f t="shared" si="68"/>
        <v>0</v>
      </c>
      <c r="Y313" s="9">
        <f>SUM(Y314:Y318)</f>
        <v>0</v>
      </c>
      <c r="Z313" s="9">
        <f t="shared" ref="Z313" si="69">SUM(Z314:Z318)</f>
        <v>0</v>
      </c>
      <c r="AA313" s="67">
        <f>SUM(AA314:AA318)</f>
        <v>0</v>
      </c>
    </row>
    <row r="314" spans="2:27" x14ac:dyDescent="0.2">
      <c r="B314" s="115" t="s">
        <v>162</v>
      </c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7"/>
    </row>
    <row r="315" spans="2:27" x14ac:dyDescent="0.2">
      <c r="B315" s="115" t="s">
        <v>163</v>
      </c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7"/>
    </row>
    <row r="316" spans="2:27" x14ac:dyDescent="0.2">
      <c r="B316" s="115" t="s">
        <v>164</v>
      </c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7"/>
    </row>
    <row r="317" spans="2:27" x14ac:dyDescent="0.2">
      <c r="B317" s="115" t="s">
        <v>165</v>
      </c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7"/>
    </row>
    <row r="318" spans="2:27" x14ac:dyDescent="0.2">
      <c r="B318" s="115" t="s">
        <v>166</v>
      </c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7"/>
    </row>
    <row r="319" spans="2:27" x14ac:dyDescent="0.2">
      <c r="B319" s="118" t="s">
        <v>159</v>
      </c>
      <c r="C319" s="9">
        <f>SUM(C320:C322)</f>
        <v>0</v>
      </c>
      <c r="D319" s="9">
        <f t="shared" ref="D319:X319" si="70">SUM(D320:D322)</f>
        <v>0</v>
      </c>
      <c r="E319" s="9">
        <f t="shared" si="70"/>
        <v>0</v>
      </c>
      <c r="F319" s="9">
        <f t="shared" si="70"/>
        <v>0</v>
      </c>
      <c r="G319" s="9">
        <f t="shared" si="70"/>
        <v>0</v>
      </c>
      <c r="H319" s="9">
        <f t="shared" si="70"/>
        <v>0</v>
      </c>
      <c r="I319" s="9">
        <f t="shared" si="70"/>
        <v>0</v>
      </c>
      <c r="J319" s="9">
        <f t="shared" si="70"/>
        <v>0</v>
      </c>
      <c r="K319" s="9">
        <f t="shared" si="70"/>
        <v>0</v>
      </c>
      <c r="L319" s="9">
        <f t="shared" si="70"/>
        <v>0</v>
      </c>
      <c r="M319" s="9">
        <f t="shared" si="70"/>
        <v>0</v>
      </c>
      <c r="N319" s="9">
        <f t="shared" si="70"/>
        <v>0</v>
      </c>
      <c r="O319" s="9">
        <f t="shared" si="70"/>
        <v>0</v>
      </c>
      <c r="P319" s="9">
        <f t="shared" si="70"/>
        <v>0</v>
      </c>
      <c r="Q319" s="9">
        <f t="shared" si="70"/>
        <v>0</v>
      </c>
      <c r="R319" s="9">
        <f t="shared" si="70"/>
        <v>0</v>
      </c>
      <c r="S319" s="9">
        <f t="shared" si="70"/>
        <v>0</v>
      </c>
      <c r="T319" s="9">
        <f t="shared" si="70"/>
        <v>0</v>
      </c>
      <c r="U319" s="9">
        <f t="shared" si="70"/>
        <v>0</v>
      </c>
      <c r="V319" s="9">
        <f t="shared" si="70"/>
        <v>0</v>
      </c>
      <c r="W319" s="9">
        <f t="shared" si="70"/>
        <v>0</v>
      </c>
      <c r="X319" s="9">
        <f t="shared" si="70"/>
        <v>0</v>
      </c>
      <c r="Y319" s="9">
        <f>SUM(Y320:Y322)</f>
        <v>0</v>
      </c>
      <c r="Z319" s="9">
        <f t="shared" ref="Z319" si="71">SUM(Z320:Z322)</f>
        <v>0</v>
      </c>
      <c r="AA319" s="67">
        <f>SUM(AA320:AA322)</f>
        <v>0</v>
      </c>
    </row>
    <row r="320" spans="2:27" x14ac:dyDescent="0.2">
      <c r="B320" s="115" t="s">
        <v>167</v>
      </c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7"/>
    </row>
    <row r="321" spans="1:27" x14ac:dyDescent="0.2">
      <c r="B321" s="115" t="s">
        <v>168</v>
      </c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7"/>
    </row>
    <row r="322" spans="1:27" x14ac:dyDescent="0.2">
      <c r="B322" s="115" t="s">
        <v>169</v>
      </c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7"/>
    </row>
    <row r="323" spans="1:27" x14ac:dyDescent="0.2">
      <c r="B323" s="68" t="s">
        <v>170</v>
      </c>
      <c r="C323" s="8">
        <f>C313-C319</f>
        <v>0</v>
      </c>
      <c r="D323" s="8">
        <f t="shared" ref="D323:X323" si="72">D313-D319</f>
        <v>0</v>
      </c>
      <c r="E323" s="8">
        <f t="shared" si="72"/>
        <v>0</v>
      </c>
      <c r="F323" s="8">
        <f t="shared" si="72"/>
        <v>0</v>
      </c>
      <c r="G323" s="8">
        <f t="shared" si="72"/>
        <v>0</v>
      </c>
      <c r="H323" s="8">
        <f t="shared" si="72"/>
        <v>0</v>
      </c>
      <c r="I323" s="8">
        <f t="shared" si="72"/>
        <v>0</v>
      </c>
      <c r="J323" s="8">
        <f t="shared" si="72"/>
        <v>0</v>
      </c>
      <c r="K323" s="8">
        <f t="shared" si="72"/>
        <v>0</v>
      </c>
      <c r="L323" s="8">
        <f t="shared" si="72"/>
        <v>0</v>
      </c>
      <c r="M323" s="8">
        <f t="shared" si="72"/>
        <v>0</v>
      </c>
      <c r="N323" s="8">
        <f t="shared" si="72"/>
        <v>0</v>
      </c>
      <c r="O323" s="8">
        <f t="shared" si="72"/>
        <v>0</v>
      </c>
      <c r="P323" s="8">
        <f t="shared" si="72"/>
        <v>0</v>
      </c>
      <c r="Q323" s="8">
        <f t="shared" si="72"/>
        <v>0</v>
      </c>
      <c r="R323" s="8">
        <f t="shared" si="72"/>
        <v>0</v>
      </c>
      <c r="S323" s="8">
        <f t="shared" si="72"/>
        <v>0</v>
      </c>
      <c r="T323" s="8">
        <f t="shared" si="72"/>
        <v>0</v>
      </c>
      <c r="U323" s="8">
        <f t="shared" si="72"/>
        <v>0</v>
      </c>
      <c r="V323" s="8">
        <f t="shared" si="72"/>
        <v>0</v>
      </c>
      <c r="W323" s="8">
        <f t="shared" si="72"/>
        <v>0</v>
      </c>
      <c r="X323" s="8">
        <f t="shared" si="72"/>
        <v>0</v>
      </c>
      <c r="Y323" s="8">
        <f>Y313-Y319</f>
        <v>0</v>
      </c>
      <c r="Z323" s="8">
        <f t="shared" ref="Z323" si="73">Z313-Z319</f>
        <v>0</v>
      </c>
      <c r="AA323" s="65">
        <f>AA313-AA319</f>
        <v>0</v>
      </c>
    </row>
    <row r="324" spans="1:27" x14ac:dyDescent="0.2">
      <c r="B324" s="68" t="s">
        <v>171</v>
      </c>
      <c r="C324" s="8">
        <f>C307+C311+C323</f>
        <v>2125540.9000000008</v>
      </c>
      <c r="D324" s="8">
        <f t="shared" ref="D324:X324" si="74">D307+D311+D323</f>
        <v>2125540.9000000008</v>
      </c>
      <c r="E324" s="8">
        <f t="shared" si="74"/>
        <v>2125540.9000000008</v>
      </c>
      <c r="F324" s="8">
        <f t="shared" si="74"/>
        <v>2125540.9000000008</v>
      </c>
      <c r="G324" s="8">
        <f t="shared" si="74"/>
        <v>2125540.9000000008</v>
      </c>
      <c r="H324" s="8">
        <f t="shared" si="74"/>
        <v>2125540.9000000008</v>
      </c>
      <c r="I324" s="8">
        <f t="shared" si="74"/>
        <v>2125540.9000000008</v>
      </c>
      <c r="J324" s="8">
        <f t="shared" si="74"/>
        <v>2125540.9000000008</v>
      </c>
      <c r="K324" s="8">
        <f t="shared" si="74"/>
        <v>2125540.9000000008</v>
      </c>
      <c r="L324" s="8">
        <f t="shared" si="74"/>
        <v>2125540.9000000008</v>
      </c>
      <c r="M324" s="8">
        <f t="shared" si="74"/>
        <v>2125540.9000000008</v>
      </c>
      <c r="N324" s="8">
        <f t="shared" si="74"/>
        <v>2125540.9000000008</v>
      </c>
      <c r="O324" s="8">
        <f t="shared" si="74"/>
        <v>2125540.9000000008</v>
      </c>
      <c r="P324" s="8">
        <f t="shared" si="74"/>
        <v>2125540.9000000008</v>
      </c>
      <c r="Q324" s="8">
        <f t="shared" si="74"/>
        <v>2125540.9000000008</v>
      </c>
      <c r="R324" s="8">
        <f t="shared" si="74"/>
        <v>2125540.9000000008</v>
      </c>
      <c r="S324" s="8">
        <f t="shared" si="74"/>
        <v>2125540.9000000008</v>
      </c>
      <c r="T324" s="8">
        <f t="shared" si="74"/>
        <v>2125540.9000000008</v>
      </c>
      <c r="U324" s="8">
        <f t="shared" si="74"/>
        <v>2125540.9000000008</v>
      </c>
      <c r="V324" s="8">
        <f t="shared" si="74"/>
        <v>2125540.9000000008</v>
      </c>
      <c r="W324" s="8">
        <f t="shared" si="74"/>
        <v>2125540.9000000008</v>
      </c>
      <c r="X324" s="8">
        <f t="shared" si="74"/>
        <v>2125540.9000000008</v>
      </c>
      <c r="Y324" s="8">
        <f>Y307+Y311+Y323</f>
        <v>2125540.9000000008</v>
      </c>
      <c r="Z324" s="8">
        <f t="shared" ref="Z324" si="75">Z307+Z311+Z323</f>
        <v>2125540.9000000008</v>
      </c>
      <c r="AA324" s="65">
        <f>AA307+AA311+AA323</f>
        <v>2125540.9000000008</v>
      </c>
    </row>
    <row r="325" spans="1:27" x14ac:dyDescent="0.2">
      <c r="B325" s="68" t="s">
        <v>172</v>
      </c>
      <c r="C325" s="8">
        <v>0</v>
      </c>
      <c r="D325" s="8">
        <f>C326</f>
        <v>2125540.9000000008</v>
      </c>
      <c r="E325" s="8">
        <f>D326</f>
        <v>4251081.8000000017</v>
      </c>
      <c r="F325" s="8">
        <f t="shared" ref="F325:AA325" si="76">E326</f>
        <v>6376622.700000003</v>
      </c>
      <c r="G325" s="8">
        <f t="shared" si="76"/>
        <v>8502163.6000000034</v>
      </c>
      <c r="H325" s="8">
        <f t="shared" si="76"/>
        <v>10627704.500000004</v>
      </c>
      <c r="I325" s="8">
        <f t="shared" si="76"/>
        <v>12753245.400000004</v>
      </c>
      <c r="J325" s="8">
        <f t="shared" si="76"/>
        <v>14878786.300000004</v>
      </c>
      <c r="K325" s="8">
        <f t="shared" si="76"/>
        <v>17004327.200000007</v>
      </c>
      <c r="L325" s="8">
        <f t="shared" si="76"/>
        <v>19129868.100000009</v>
      </c>
      <c r="M325" s="8">
        <f t="shared" si="76"/>
        <v>21255409.000000011</v>
      </c>
      <c r="N325" s="8">
        <f t="shared" si="76"/>
        <v>23380949.900000013</v>
      </c>
      <c r="O325" s="8">
        <f t="shared" si="76"/>
        <v>25506490.800000016</v>
      </c>
      <c r="P325" s="8">
        <f t="shared" si="76"/>
        <v>27632031.700000018</v>
      </c>
      <c r="Q325" s="8">
        <f t="shared" si="76"/>
        <v>29757572.60000002</v>
      </c>
      <c r="R325" s="8">
        <f t="shared" si="76"/>
        <v>31883113.500000022</v>
      </c>
      <c r="S325" s="8">
        <f t="shared" si="76"/>
        <v>34008654.400000021</v>
      </c>
      <c r="T325" s="8">
        <f t="shared" si="76"/>
        <v>36134195.300000019</v>
      </c>
      <c r="U325" s="8">
        <f t="shared" si="76"/>
        <v>38259736.200000018</v>
      </c>
      <c r="V325" s="8">
        <f t="shared" si="76"/>
        <v>40385277.100000016</v>
      </c>
      <c r="W325" s="8">
        <f t="shared" si="76"/>
        <v>42510818.000000015</v>
      </c>
      <c r="X325" s="8">
        <f t="shared" si="76"/>
        <v>44636358.900000013</v>
      </c>
      <c r="Y325" s="8">
        <f t="shared" si="76"/>
        <v>46761899.800000012</v>
      </c>
      <c r="Z325" s="8">
        <f t="shared" si="76"/>
        <v>48887440.70000001</v>
      </c>
      <c r="AA325" s="65">
        <f t="shared" si="76"/>
        <v>51012981.600000009</v>
      </c>
    </row>
    <row r="326" spans="1:27" x14ac:dyDescent="0.2">
      <c r="B326" s="69" t="s">
        <v>173</v>
      </c>
      <c r="C326" s="70">
        <f>C325+C324</f>
        <v>2125540.9000000008</v>
      </c>
      <c r="D326" s="70">
        <f t="shared" ref="D326:X326" si="77">D325+D324</f>
        <v>4251081.8000000017</v>
      </c>
      <c r="E326" s="70">
        <f t="shared" si="77"/>
        <v>6376622.700000003</v>
      </c>
      <c r="F326" s="70">
        <f t="shared" si="77"/>
        <v>8502163.6000000034</v>
      </c>
      <c r="G326" s="70">
        <f t="shared" si="77"/>
        <v>10627704.500000004</v>
      </c>
      <c r="H326" s="70">
        <f t="shared" si="77"/>
        <v>12753245.400000004</v>
      </c>
      <c r="I326" s="70">
        <f t="shared" si="77"/>
        <v>14878786.300000004</v>
      </c>
      <c r="J326" s="70">
        <f t="shared" si="77"/>
        <v>17004327.200000007</v>
      </c>
      <c r="K326" s="70">
        <f t="shared" si="77"/>
        <v>19129868.100000009</v>
      </c>
      <c r="L326" s="70">
        <f t="shared" si="77"/>
        <v>21255409.000000011</v>
      </c>
      <c r="M326" s="70">
        <f t="shared" si="77"/>
        <v>23380949.900000013</v>
      </c>
      <c r="N326" s="70">
        <f t="shared" si="77"/>
        <v>25506490.800000016</v>
      </c>
      <c r="O326" s="70">
        <f t="shared" si="77"/>
        <v>27632031.700000018</v>
      </c>
      <c r="P326" s="70">
        <f t="shared" si="77"/>
        <v>29757572.60000002</v>
      </c>
      <c r="Q326" s="70">
        <f t="shared" si="77"/>
        <v>31883113.500000022</v>
      </c>
      <c r="R326" s="70">
        <f t="shared" si="77"/>
        <v>34008654.400000021</v>
      </c>
      <c r="S326" s="70">
        <f t="shared" si="77"/>
        <v>36134195.300000019</v>
      </c>
      <c r="T326" s="70">
        <f t="shared" si="77"/>
        <v>38259736.200000018</v>
      </c>
      <c r="U326" s="70">
        <f t="shared" si="77"/>
        <v>40385277.100000016</v>
      </c>
      <c r="V326" s="70">
        <f t="shared" si="77"/>
        <v>42510818.000000015</v>
      </c>
      <c r="W326" s="70">
        <f t="shared" si="77"/>
        <v>44636358.900000013</v>
      </c>
      <c r="X326" s="70">
        <f t="shared" si="77"/>
        <v>46761899.800000012</v>
      </c>
      <c r="Y326" s="70">
        <f>Y325+Y324</f>
        <v>48887440.70000001</v>
      </c>
      <c r="Z326" s="70">
        <f t="shared" ref="Z326" si="78">Z325+Z324</f>
        <v>51012981.600000009</v>
      </c>
      <c r="AA326" s="71">
        <f>AA325+AA324</f>
        <v>53138522.500000007</v>
      </c>
    </row>
    <row r="330" spans="1:27" x14ac:dyDescent="0.2">
      <c r="A330" s="7" t="s">
        <v>229</v>
      </c>
      <c r="B330" s="7" t="s">
        <v>176</v>
      </c>
    </row>
    <row r="331" spans="1:27" x14ac:dyDescent="0.2">
      <c r="A331" s="113"/>
      <c r="B331" s="114" t="s">
        <v>175</v>
      </c>
      <c r="C331" s="11">
        <f t="shared" ref="C331:AA331" si="79">C$160</f>
        <v>2016</v>
      </c>
      <c r="D331" s="11">
        <f t="shared" si="79"/>
        <v>2017</v>
      </c>
      <c r="E331" s="11">
        <f t="shared" si="79"/>
        <v>2018</v>
      </c>
      <c r="F331" s="11">
        <f t="shared" si="79"/>
        <v>2019</v>
      </c>
      <c r="G331" s="11">
        <f t="shared" si="79"/>
        <v>2020</v>
      </c>
      <c r="H331" s="11">
        <f t="shared" si="79"/>
        <v>2021</v>
      </c>
      <c r="I331" s="11">
        <f t="shared" si="79"/>
        <v>2022</v>
      </c>
      <c r="J331" s="11">
        <f t="shared" si="79"/>
        <v>2023</v>
      </c>
      <c r="K331" s="11">
        <f t="shared" si="79"/>
        <v>2024</v>
      </c>
      <c r="L331" s="11">
        <f t="shared" si="79"/>
        <v>2025</v>
      </c>
      <c r="M331" s="11">
        <f t="shared" si="79"/>
        <v>2026</v>
      </c>
      <c r="N331" s="11">
        <f t="shared" si="79"/>
        <v>2027</v>
      </c>
      <c r="O331" s="11">
        <f t="shared" si="79"/>
        <v>2028</v>
      </c>
      <c r="P331" s="11">
        <f t="shared" si="79"/>
        <v>2029</v>
      </c>
      <c r="Q331" s="11">
        <f t="shared" si="79"/>
        <v>2030</v>
      </c>
      <c r="R331" s="11">
        <f t="shared" si="79"/>
        <v>2031</v>
      </c>
      <c r="S331" s="11">
        <f t="shared" si="79"/>
        <v>2032</v>
      </c>
      <c r="T331" s="11">
        <f t="shared" si="79"/>
        <v>2033</v>
      </c>
      <c r="U331" s="11">
        <f t="shared" si="79"/>
        <v>2034</v>
      </c>
      <c r="V331" s="11">
        <f t="shared" si="79"/>
        <v>2035</v>
      </c>
      <c r="W331" s="11">
        <f t="shared" si="79"/>
        <v>2036</v>
      </c>
      <c r="X331" s="11">
        <f t="shared" si="79"/>
        <v>2037</v>
      </c>
      <c r="Y331" s="11">
        <f t="shared" si="79"/>
        <v>2038</v>
      </c>
      <c r="Z331" s="11">
        <f t="shared" si="79"/>
        <v>2039</v>
      </c>
      <c r="AA331" s="12">
        <f t="shared" si="79"/>
        <v>2040</v>
      </c>
    </row>
    <row r="332" spans="1:27" x14ac:dyDescent="0.2">
      <c r="B332" s="68" t="s">
        <v>144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8"/>
    </row>
    <row r="333" spans="1:27" x14ac:dyDescent="0.2">
      <c r="B333" s="68" t="s">
        <v>145</v>
      </c>
      <c r="C333" s="43">
        <f>C257</f>
        <v>59827.620000000898</v>
      </c>
      <c r="D333" s="43">
        <f t="shared" ref="D333:AA333" si="80">D257</f>
        <v>-46185.309999998834</v>
      </c>
      <c r="E333" s="43">
        <f t="shared" si="80"/>
        <v>249359.82999999894</v>
      </c>
      <c r="F333" s="43">
        <f t="shared" si="80"/>
        <v>249359.82999999894</v>
      </c>
      <c r="G333" s="43">
        <f t="shared" si="80"/>
        <v>249359.82999999894</v>
      </c>
      <c r="H333" s="43">
        <f t="shared" si="80"/>
        <v>244059.18000000043</v>
      </c>
      <c r="I333" s="43">
        <f t="shared" si="80"/>
        <v>244059.18000000043</v>
      </c>
      <c r="J333" s="43">
        <f t="shared" si="80"/>
        <v>208851.76000000237</v>
      </c>
      <c r="K333" s="43">
        <f t="shared" si="80"/>
        <v>208851.76000000237</v>
      </c>
      <c r="L333" s="43">
        <f t="shared" si="80"/>
        <v>208851.76000000237</v>
      </c>
      <c r="M333" s="43">
        <f t="shared" si="80"/>
        <v>203551.12000000177</v>
      </c>
      <c r="N333" s="43">
        <f t="shared" si="80"/>
        <v>203551.12000000177</v>
      </c>
      <c r="O333" s="43">
        <f t="shared" si="80"/>
        <v>203551.12000000177</v>
      </c>
      <c r="P333" s="43">
        <f t="shared" si="80"/>
        <v>203551.12000000177</v>
      </c>
      <c r="Q333" s="43">
        <f t="shared" si="80"/>
        <v>203551.12000000177</v>
      </c>
      <c r="R333" s="43">
        <f t="shared" si="80"/>
        <v>198250.46999999954</v>
      </c>
      <c r="S333" s="43">
        <f t="shared" si="80"/>
        <v>198250.46999999954</v>
      </c>
      <c r="T333" s="43">
        <f t="shared" si="80"/>
        <v>198250.46999999954</v>
      </c>
      <c r="U333" s="43">
        <f t="shared" si="80"/>
        <v>198250.46999999954</v>
      </c>
      <c r="V333" s="43">
        <f t="shared" si="80"/>
        <v>198250.46999999954</v>
      </c>
      <c r="W333" s="43">
        <f t="shared" si="80"/>
        <v>192949.82000000103</v>
      </c>
      <c r="X333" s="43">
        <f t="shared" si="80"/>
        <v>192949.82000000103</v>
      </c>
      <c r="Y333" s="43">
        <f t="shared" si="80"/>
        <v>192949.82000000103</v>
      </c>
      <c r="Z333" s="43">
        <f t="shared" si="80"/>
        <v>192949.82000000103</v>
      </c>
      <c r="AA333" s="61">
        <f t="shared" si="80"/>
        <v>320165.34000000055</v>
      </c>
    </row>
    <row r="334" spans="1:27" x14ac:dyDescent="0.2">
      <c r="B334" s="68" t="s">
        <v>146</v>
      </c>
      <c r="C334" s="8">
        <f>SUM(C335:C344)</f>
        <v>2065713.28</v>
      </c>
      <c r="D334" s="8">
        <f t="shared" ref="D334:AA334" si="81">SUM(D335:D344)</f>
        <v>2171726.21</v>
      </c>
      <c r="E334" s="8">
        <f t="shared" si="81"/>
        <v>2113607.67</v>
      </c>
      <c r="F334" s="8">
        <f t="shared" si="81"/>
        <v>2113607.67</v>
      </c>
      <c r="G334" s="8">
        <f t="shared" si="81"/>
        <v>2113607.67</v>
      </c>
      <c r="H334" s="8">
        <f t="shared" si="81"/>
        <v>2118908.3199999998</v>
      </c>
      <c r="I334" s="8">
        <f t="shared" si="81"/>
        <v>2118908.3199999998</v>
      </c>
      <c r="J334" s="8">
        <f t="shared" si="81"/>
        <v>2118908.3199999998</v>
      </c>
      <c r="K334" s="8">
        <f t="shared" si="81"/>
        <v>2118908.3199999998</v>
      </c>
      <c r="L334" s="8">
        <f t="shared" si="81"/>
        <v>2118908.3199999998</v>
      </c>
      <c r="M334" s="8">
        <f t="shared" si="81"/>
        <v>2124208.96</v>
      </c>
      <c r="N334" s="8">
        <f t="shared" si="81"/>
        <v>2124208.96</v>
      </c>
      <c r="O334" s="8">
        <f t="shared" si="81"/>
        <v>2124208.96</v>
      </c>
      <c r="P334" s="8">
        <f t="shared" si="81"/>
        <v>2124208.96</v>
      </c>
      <c r="Q334" s="8">
        <f t="shared" si="81"/>
        <v>2124208.96</v>
      </c>
      <c r="R334" s="8">
        <f t="shared" si="81"/>
        <v>2129509.61</v>
      </c>
      <c r="S334" s="8">
        <f t="shared" si="81"/>
        <v>2129509.61</v>
      </c>
      <c r="T334" s="8">
        <f t="shared" si="81"/>
        <v>2129509.61</v>
      </c>
      <c r="U334" s="8">
        <f t="shared" si="81"/>
        <v>2129509.61</v>
      </c>
      <c r="V334" s="8">
        <f t="shared" si="81"/>
        <v>2129509.61</v>
      </c>
      <c r="W334" s="8">
        <f t="shared" si="81"/>
        <v>2134810.2599999998</v>
      </c>
      <c r="X334" s="8">
        <f t="shared" si="81"/>
        <v>2134810.2599999998</v>
      </c>
      <c r="Y334" s="8">
        <f t="shared" si="81"/>
        <v>2134810.2599999998</v>
      </c>
      <c r="Z334" s="8">
        <f t="shared" si="81"/>
        <v>2134810.2599999998</v>
      </c>
      <c r="AA334" s="65">
        <f t="shared" si="81"/>
        <v>2007594.74</v>
      </c>
    </row>
    <row r="335" spans="1:27" x14ac:dyDescent="0.2">
      <c r="B335" s="115" t="s">
        <v>120</v>
      </c>
      <c r="C335" s="116">
        <f>C235</f>
        <v>2065713.28</v>
      </c>
      <c r="D335" s="116">
        <f t="shared" ref="D335:AA335" si="82">D235</f>
        <v>2171726.21</v>
      </c>
      <c r="E335" s="116">
        <f t="shared" si="82"/>
        <v>2171726.21</v>
      </c>
      <c r="F335" s="116">
        <f t="shared" si="82"/>
        <v>2171726.21</v>
      </c>
      <c r="G335" s="116">
        <f t="shared" si="82"/>
        <v>2171726.21</v>
      </c>
      <c r="H335" s="116">
        <f t="shared" si="82"/>
        <v>2177026.86</v>
      </c>
      <c r="I335" s="116">
        <f t="shared" si="82"/>
        <v>2177026.86</v>
      </c>
      <c r="J335" s="116">
        <f t="shared" si="82"/>
        <v>2177026.86</v>
      </c>
      <c r="K335" s="116">
        <f t="shared" si="82"/>
        <v>2177026.86</v>
      </c>
      <c r="L335" s="116">
        <f t="shared" si="82"/>
        <v>2177026.86</v>
      </c>
      <c r="M335" s="116">
        <f t="shared" si="82"/>
        <v>2182327.5</v>
      </c>
      <c r="N335" s="116">
        <f t="shared" si="82"/>
        <v>2182327.5</v>
      </c>
      <c r="O335" s="116">
        <f t="shared" si="82"/>
        <v>2182327.5</v>
      </c>
      <c r="P335" s="116">
        <f t="shared" si="82"/>
        <v>2182327.5</v>
      </c>
      <c r="Q335" s="116">
        <f t="shared" si="82"/>
        <v>2182327.5</v>
      </c>
      <c r="R335" s="116">
        <f t="shared" si="82"/>
        <v>2187628.15</v>
      </c>
      <c r="S335" s="116">
        <f t="shared" si="82"/>
        <v>2187628.15</v>
      </c>
      <c r="T335" s="116">
        <f t="shared" si="82"/>
        <v>2187628.15</v>
      </c>
      <c r="U335" s="116">
        <f t="shared" si="82"/>
        <v>2187628.15</v>
      </c>
      <c r="V335" s="116">
        <f t="shared" si="82"/>
        <v>2187628.15</v>
      </c>
      <c r="W335" s="116">
        <f t="shared" si="82"/>
        <v>2192928.7999999998</v>
      </c>
      <c r="X335" s="116">
        <f t="shared" si="82"/>
        <v>2192928.7999999998</v>
      </c>
      <c r="Y335" s="116">
        <f t="shared" si="82"/>
        <v>2192928.7999999998</v>
      </c>
      <c r="Z335" s="116">
        <f t="shared" si="82"/>
        <v>2192928.7999999998</v>
      </c>
      <c r="AA335" s="117">
        <f t="shared" si="82"/>
        <v>2065713.28</v>
      </c>
    </row>
    <row r="336" spans="1:27" x14ac:dyDescent="0.2">
      <c r="B336" s="115" t="s">
        <v>147</v>
      </c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7"/>
    </row>
    <row r="337" spans="2:27" x14ac:dyDescent="0.2">
      <c r="B337" s="115" t="s">
        <v>148</v>
      </c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7"/>
    </row>
    <row r="338" spans="2:27" x14ac:dyDescent="0.2">
      <c r="B338" s="115" t="s">
        <v>149</v>
      </c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7"/>
    </row>
    <row r="339" spans="2:27" x14ac:dyDescent="0.2">
      <c r="B339" s="115" t="s">
        <v>150</v>
      </c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7"/>
    </row>
    <row r="340" spans="2:27" x14ac:dyDescent="0.2">
      <c r="B340" s="115" t="s">
        <v>151</v>
      </c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7"/>
    </row>
    <row r="341" spans="2:27" x14ac:dyDescent="0.2">
      <c r="B341" s="115" t="s">
        <v>152</v>
      </c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7"/>
    </row>
    <row r="342" spans="2:27" x14ac:dyDescent="0.2">
      <c r="B342" s="115" t="s">
        <v>153</v>
      </c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7"/>
    </row>
    <row r="343" spans="2:27" x14ac:dyDescent="0.2">
      <c r="B343" s="115" t="s">
        <v>154</v>
      </c>
      <c r="C343" s="116">
        <f>-C182</f>
        <v>0</v>
      </c>
      <c r="D343" s="116">
        <f t="shared" ref="D343:AA343" si="83">-D182</f>
        <v>0</v>
      </c>
      <c r="E343" s="116">
        <f t="shared" si="83"/>
        <v>-58118.54</v>
      </c>
      <c r="F343" s="116">
        <f t="shared" si="83"/>
        <v>-58118.54</v>
      </c>
      <c r="G343" s="116">
        <f t="shared" si="83"/>
        <v>-58118.54</v>
      </c>
      <c r="H343" s="116">
        <f t="shared" si="83"/>
        <v>-58118.54</v>
      </c>
      <c r="I343" s="116">
        <f t="shared" si="83"/>
        <v>-58118.54</v>
      </c>
      <c r="J343" s="116">
        <f t="shared" si="83"/>
        <v>-58118.54</v>
      </c>
      <c r="K343" s="116">
        <f t="shared" si="83"/>
        <v>-58118.54</v>
      </c>
      <c r="L343" s="116">
        <f t="shared" si="83"/>
        <v>-58118.54</v>
      </c>
      <c r="M343" s="116">
        <f t="shared" si="83"/>
        <v>-58118.54</v>
      </c>
      <c r="N343" s="116">
        <f t="shared" si="83"/>
        <v>-58118.54</v>
      </c>
      <c r="O343" s="116">
        <f t="shared" si="83"/>
        <v>-58118.54</v>
      </c>
      <c r="P343" s="116">
        <f t="shared" si="83"/>
        <v>-58118.54</v>
      </c>
      <c r="Q343" s="116">
        <f t="shared" si="83"/>
        <v>-58118.54</v>
      </c>
      <c r="R343" s="116">
        <f t="shared" si="83"/>
        <v>-58118.54</v>
      </c>
      <c r="S343" s="116">
        <f t="shared" si="83"/>
        <v>-58118.54</v>
      </c>
      <c r="T343" s="116">
        <f t="shared" si="83"/>
        <v>-58118.54</v>
      </c>
      <c r="U343" s="116">
        <f t="shared" si="83"/>
        <v>-58118.54</v>
      </c>
      <c r="V343" s="116">
        <f t="shared" si="83"/>
        <v>-58118.54</v>
      </c>
      <c r="W343" s="116">
        <f t="shared" si="83"/>
        <v>-58118.54</v>
      </c>
      <c r="X343" s="116">
        <f t="shared" si="83"/>
        <v>-58118.54</v>
      </c>
      <c r="Y343" s="116">
        <f t="shared" si="83"/>
        <v>-58118.54</v>
      </c>
      <c r="Z343" s="116">
        <f t="shared" si="83"/>
        <v>-58118.54</v>
      </c>
      <c r="AA343" s="117">
        <f t="shared" si="83"/>
        <v>-58118.54</v>
      </c>
    </row>
    <row r="344" spans="2:27" x14ac:dyDescent="0.2">
      <c r="B344" s="115" t="s">
        <v>155</v>
      </c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7"/>
    </row>
    <row r="345" spans="2:27" x14ac:dyDescent="0.2">
      <c r="B345" s="68" t="s">
        <v>156</v>
      </c>
      <c r="C345" s="8">
        <f>C334+C333</f>
        <v>2125540.9000000008</v>
      </c>
      <c r="D345" s="8">
        <f t="shared" ref="D345:X345" si="84">D334+D333</f>
        <v>2125540.9000000013</v>
      </c>
      <c r="E345" s="8">
        <f t="shared" si="84"/>
        <v>2362967.4999999991</v>
      </c>
      <c r="F345" s="8">
        <f t="shared" si="84"/>
        <v>2362967.4999999991</v>
      </c>
      <c r="G345" s="8">
        <f t="shared" si="84"/>
        <v>2362967.4999999991</v>
      </c>
      <c r="H345" s="8">
        <f t="shared" si="84"/>
        <v>2362967.5000000005</v>
      </c>
      <c r="I345" s="8">
        <f t="shared" si="84"/>
        <v>2362967.5000000005</v>
      </c>
      <c r="J345" s="8">
        <f t="shared" si="84"/>
        <v>2327760.0800000024</v>
      </c>
      <c r="K345" s="8">
        <f t="shared" si="84"/>
        <v>2327760.0800000024</v>
      </c>
      <c r="L345" s="8">
        <f t="shared" si="84"/>
        <v>2327760.0800000024</v>
      </c>
      <c r="M345" s="8">
        <f t="shared" si="84"/>
        <v>2327760.0800000019</v>
      </c>
      <c r="N345" s="8">
        <f t="shared" si="84"/>
        <v>2327760.0800000019</v>
      </c>
      <c r="O345" s="8">
        <f t="shared" si="84"/>
        <v>2327760.0800000019</v>
      </c>
      <c r="P345" s="8">
        <f t="shared" si="84"/>
        <v>2327760.0800000019</v>
      </c>
      <c r="Q345" s="8">
        <f t="shared" si="84"/>
        <v>2327760.0800000019</v>
      </c>
      <c r="R345" s="8">
        <f t="shared" si="84"/>
        <v>2327760.0799999996</v>
      </c>
      <c r="S345" s="8">
        <f t="shared" si="84"/>
        <v>2327760.0799999996</v>
      </c>
      <c r="T345" s="8">
        <f t="shared" si="84"/>
        <v>2327760.0799999996</v>
      </c>
      <c r="U345" s="8">
        <f t="shared" si="84"/>
        <v>2327760.0799999996</v>
      </c>
      <c r="V345" s="8">
        <f t="shared" si="84"/>
        <v>2327760.0799999996</v>
      </c>
      <c r="W345" s="8">
        <f t="shared" si="84"/>
        <v>2327760.080000001</v>
      </c>
      <c r="X345" s="8">
        <f t="shared" si="84"/>
        <v>2327760.080000001</v>
      </c>
      <c r="Y345" s="8">
        <f>Y334+Y333</f>
        <v>2327760.080000001</v>
      </c>
      <c r="Z345" s="8">
        <f t="shared" ref="Z345" si="85">Z334+Z333</f>
        <v>2327760.080000001</v>
      </c>
      <c r="AA345" s="65">
        <f>AA334+AA333</f>
        <v>2327760.0800000005</v>
      </c>
    </row>
    <row r="346" spans="2:27" x14ac:dyDescent="0.2">
      <c r="B346" s="68" t="s">
        <v>157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67"/>
    </row>
    <row r="347" spans="2:27" x14ac:dyDescent="0.2">
      <c r="B347" s="118" t="s">
        <v>158</v>
      </c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7"/>
    </row>
    <row r="348" spans="2:27" x14ac:dyDescent="0.2">
      <c r="B348" s="118" t="s">
        <v>159</v>
      </c>
      <c r="C348" s="116">
        <f>C163</f>
        <v>980820.45</v>
      </c>
      <c r="D348" s="116">
        <f>D163</f>
        <v>3259696.8</v>
      </c>
      <c r="E348" s="116">
        <f t="shared" ref="E348:AA348" si="86">E163</f>
        <v>0</v>
      </c>
      <c r="F348" s="116">
        <f t="shared" si="86"/>
        <v>0</v>
      </c>
      <c r="G348" s="116">
        <f t="shared" si="86"/>
        <v>0</v>
      </c>
      <c r="H348" s="116">
        <f t="shared" si="86"/>
        <v>0</v>
      </c>
      <c r="I348" s="116">
        <f t="shared" si="86"/>
        <v>212025.86</v>
      </c>
      <c r="J348" s="116">
        <f t="shared" si="86"/>
        <v>0</v>
      </c>
      <c r="K348" s="116">
        <f t="shared" si="86"/>
        <v>0</v>
      </c>
      <c r="L348" s="116">
        <f t="shared" si="86"/>
        <v>0</v>
      </c>
      <c r="M348" s="116">
        <f t="shared" si="86"/>
        <v>0</v>
      </c>
      <c r="N348" s="116">
        <f t="shared" si="86"/>
        <v>212025.86</v>
      </c>
      <c r="O348" s="116">
        <f t="shared" si="86"/>
        <v>0</v>
      </c>
      <c r="P348" s="116">
        <f t="shared" si="86"/>
        <v>0</v>
      </c>
      <c r="Q348" s="116">
        <f t="shared" si="86"/>
        <v>0</v>
      </c>
      <c r="R348" s="116">
        <f t="shared" si="86"/>
        <v>0</v>
      </c>
      <c r="S348" s="116">
        <f t="shared" si="86"/>
        <v>212025.86</v>
      </c>
      <c r="T348" s="116">
        <f t="shared" si="86"/>
        <v>0</v>
      </c>
      <c r="U348" s="116">
        <f t="shared" si="86"/>
        <v>0</v>
      </c>
      <c r="V348" s="116">
        <f t="shared" si="86"/>
        <v>0</v>
      </c>
      <c r="W348" s="116">
        <f t="shared" si="86"/>
        <v>0</v>
      </c>
      <c r="X348" s="116">
        <f t="shared" si="86"/>
        <v>212025.86</v>
      </c>
      <c r="Y348" s="116">
        <f t="shared" si="86"/>
        <v>0</v>
      </c>
      <c r="Z348" s="116">
        <f t="shared" si="86"/>
        <v>0</v>
      </c>
      <c r="AA348" s="117">
        <f t="shared" si="86"/>
        <v>0</v>
      </c>
    </row>
    <row r="349" spans="2:27" x14ac:dyDescent="0.2">
      <c r="B349" s="68" t="s">
        <v>160</v>
      </c>
      <c r="C349" s="8">
        <f>C347-C348</f>
        <v>-980820.45</v>
      </c>
      <c r="D349" s="8">
        <f t="shared" ref="D349" si="87">D347-D348</f>
        <v>-3259696.8</v>
      </c>
      <c r="E349" s="8">
        <f t="shared" ref="E349" si="88">E347-E348</f>
        <v>0</v>
      </c>
      <c r="F349" s="8">
        <f t="shared" ref="F349" si="89">F347-F348</f>
        <v>0</v>
      </c>
      <c r="G349" s="8">
        <f t="shared" ref="G349" si="90">G347-G348</f>
        <v>0</v>
      </c>
      <c r="H349" s="8">
        <f t="shared" ref="H349" si="91">H347-H348</f>
        <v>0</v>
      </c>
      <c r="I349" s="8">
        <f t="shared" ref="I349" si="92">I347-I348</f>
        <v>-212025.86</v>
      </c>
      <c r="J349" s="8">
        <f t="shared" ref="J349" si="93">J347-J348</f>
        <v>0</v>
      </c>
      <c r="K349" s="8">
        <f t="shared" ref="K349" si="94">K347-K348</f>
        <v>0</v>
      </c>
      <c r="L349" s="8">
        <f t="shared" ref="L349" si="95">L347-L348</f>
        <v>0</v>
      </c>
      <c r="M349" s="8">
        <f t="shared" ref="M349" si="96">M347-M348</f>
        <v>0</v>
      </c>
      <c r="N349" s="8">
        <f t="shared" ref="N349" si="97">N347-N348</f>
        <v>-212025.86</v>
      </c>
      <c r="O349" s="8">
        <f t="shared" ref="O349" si="98">O347-O348</f>
        <v>0</v>
      </c>
      <c r="P349" s="8">
        <f t="shared" ref="P349" si="99">P347-P348</f>
        <v>0</v>
      </c>
      <c r="Q349" s="8">
        <f t="shared" ref="Q349" si="100">Q347-Q348</f>
        <v>0</v>
      </c>
      <c r="R349" s="8">
        <f t="shared" ref="R349" si="101">R347-R348</f>
        <v>0</v>
      </c>
      <c r="S349" s="8">
        <f t="shared" ref="S349" si="102">S347-S348</f>
        <v>-212025.86</v>
      </c>
      <c r="T349" s="8">
        <f t="shared" ref="T349" si="103">T347-T348</f>
        <v>0</v>
      </c>
      <c r="U349" s="8">
        <f t="shared" ref="U349" si="104">U347-U348</f>
        <v>0</v>
      </c>
      <c r="V349" s="8">
        <f t="shared" ref="V349" si="105">V347-V348</f>
        <v>0</v>
      </c>
      <c r="W349" s="8">
        <f t="shared" ref="W349" si="106">W347-W348</f>
        <v>0</v>
      </c>
      <c r="X349" s="8">
        <f t="shared" ref="X349" si="107">X347-X348</f>
        <v>-212025.86</v>
      </c>
      <c r="Y349" s="8">
        <f>Y347-Y348</f>
        <v>0</v>
      </c>
      <c r="Z349" s="8">
        <f t="shared" ref="Z349" si="108">Z347-Z348</f>
        <v>0</v>
      </c>
      <c r="AA349" s="65">
        <f>AA347-AA348</f>
        <v>0</v>
      </c>
    </row>
    <row r="350" spans="2:27" x14ac:dyDescent="0.2">
      <c r="B350" s="68" t="s">
        <v>161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65"/>
    </row>
    <row r="351" spans="2:27" x14ac:dyDescent="0.2">
      <c r="B351" s="118" t="s">
        <v>158</v>
      </c>
      <c r="C351" s="9">
        <f>SUM(C352:C356)</f>
        <v>980820.45</v>
      </c>
      <c r="D351" s="9">
        <f t="shared" ref="D351" si="109">SUM(D352:D356)</f>
        <v>3259696.8</v>
      </c>
      <c r="E351" s="9">
        <f t="shared" ref="E351" si="110">SUM(E352:E356)</f>
        <v>0</v>
      </c>
      <c r="F351" s="9">
        <f t="shared" ref="F351" si="111">SUM(F352:F356)</f>
        <v>0</v>
      </c>
      <c r="G351" s="9">
        <f t="shared" ref="G351" si="112">SUM(G352:G356)</f>
        <v>0</v>
      </c>
      <c r="H351" s="9">
        <f t="shared" ref="H351" si="113">SUM(H352:H356)</f>
        <v>0</v>
      </c>
      <c r="I351" s="9">
        <f t="shared" ref="I351" si="114">SUM(I352:I356)</f>
        <v>0</v>
      </c>
      <c r="J351" s="9">
        <f t="shared" ref="J351" si="115">SUM(J352:J356)</f>
        <v>0</v>
      </c>
      <c r="K351" s="9">
        <f t="shared" ref="K351" si="116">SUM(K352:K356)</f>
        <v>0</v>
      </c>
      <c r="L351" s="9">
        <f t="shared" ref="L351" si="117">SUM(L352:L356)</f>
        <v>0</v>
      </c>
      <c r="M351" s="9">
        <f t="shared" ref="M351" si="118">SUM(M352:M356)</f>
        <v>0</v>
      </c>
      <c r="N351" s="9">
        <f t="shared" ref="N351" si="119">SUM(N352:N356)</f>
        <v>0</v>
      </c>
      <c r="O351" s="9">
        <f t="shared" ref="O351" si="120">SUM(O352:O356)</f>
        <v>0</v>
      </c>
      <c r="P351" s="9">
        <f t="shared" ref="P351" si="121">SUM(P352:P356)</f>
        <v>0</v>
      </c>
      <c r="Q351" s="9">
        <f t="shared" ref="Q351" si="122">SUM(Q352:Q356)</f>
        <v>0</v>
      </c>
      <c r="R351" s="9">
        <f t="shared" ref="R351" si="123">SUM(R352:R356)</f>
        <v>0</v>
      </c>
      <c r="S351" s="9">
        <f t="shared" ref="S351" si="124">SUM(S352:S356)</f>
        <v>0</v>
      </c>
      <c r="T351" s="9">
        <f t="shared" ref="T351" si="125">SUM(T352:T356)</f>
        <v>0</v>
      </c>
      <c r="U351" s="9">
        <f t="shared" ref="U351" si="126">SUM(U352:U356)</f>
        <v>0</v>
      </c>
      <c r="V351" s="9">
        <f t="shared" ref="V351" si="127">SUM(V352:V356)</f>
        <v>0</v>
      </c>
      <c r="W351" s="9">
        <f t="shared" ref="W351" si="128">SUM(W352:W356)</f>
        <v>0</v>
      </c>
      <c r="X351" s="9">
        <f t="shared" ref="X351" si="129">SUM(X352:X356)</f>
        <v>0</v>
      </c>
      <c r="Y351" s="9">
        <f>SUM(Y352:Y356)</f>
        <v>0</v>
      </c>
      <c r="Z351" s="9">
        <f t="shared" ref="Z351" si="130">SUM(Z352:Z356)</f>
        <v>0</v>
      </c>
      <c r="AA351" s="67">
        <f>SUM(AA352:AA356)</f>
        <v>0</v>
      </c>
    </row>
    <row r="352" spans="2:27" x14ac:dyDescent="0.2">
      <c r="B352" s="115" t="s">
        <v>162</v>
      </c>
      <c r="C352" s="116">
        <f>C56+C54</f>
        <v>474607.2</v>
      </c>
      <c r="D352" s="116">
        <f>D56+D54</f>
        <v>1441168.55</v>
      </c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7"/>
    </row>
    <row r="353" spans="1:27" x14ac:dyDescent="0.2">
      <c r="B353" s="115" t="s">
        <v>163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7"/>
    </row>
    <row r="354" spans="1:27" x14ac:dyDescent="0.2">
      <c r="B354" s="115" t="s">
        <v>164</v>
      </c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7"/>
    </row>
    <row r="355" spans="1:27" x14ac:dyDescent="0.2">
      <c r="B355" s="115" t="s">
        <v>165</v>
      </c>
      <c r="C355" s="116">
        <f>C180</f>
        <v>506213.25</v>
      </c>
      <c r="D355" s="116">
        <f>D180</f>
        <v>1818528.25</v>
      </c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7"/>
    </row>
    <row r="356" spans="1:27" x14ac:dyDescent="0.2">
      <c r="B356" s="115" t="s">
        <v>166</v>
      </c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7"/>
    </row>
    <row r="357" spans="1:27" x14ac:dyDescent="0.2">
      <c r="B357" s="118" t="s">
        <v>159</v>
      </c>
      <c r="C357" s="9">
        <f>SUM(C358:C360)</f>
        <v>0</v>
      </c>
      <c r="D357" s="9">
        <f t="shared" ref="D357" si="131">SUM(D358:D360)</f>
        <v>0</v>
      </c>
      <c r="E357" s="9">
        <f t="shared" ref="E357" si="132">SUM(E358:E360)</f>
        <v>0</v>
      </c>
      <c r="F357" s="9">
        <f t="shared" ref="F357" si="133">SUM(F358:F360)</f>
        <v>0</v>
      </c>
      <c r="G357" s="9">
        <f t="shared" ref="G357" si="134">SUM(G358:G360)</f>
        <v>0</v>
      </c>
      <c r="H357" s="9">
        <f t="shared" ref="H357" si="135">SUM(H358:H360)</f>
        <v>0</v>
      </c>
      <c r="I357" s="9">
        <f t="shared" ref="I357" si="136">SUM(I358:I360)</f>
        <v>0</v>
      </c>
      <c r="J357" s="9">
        <f t="shared" ref="J357" si="137">SUM(J358:J360)</f>
        <v>0</v>
      </c>
      <c r="K357" s="9">
        <f t="shared" ref="K357" si="138">SUM(K358:K360)</f>
        <v>0</v>
      </c>
      <c r="L357" s="9">
        <f t="shared" ref="L357" si="139">SUM(L358:L360)</f>
        <v>0</v>
      </c>
      <c r="M357" s="9">
        <f t="shared" ref="M357" si="140">SUM(M358:M360)</f>
        <v>0</v>
      </c>
      <c r="N357" s="9">
        <f t="shared" ref="N357" si="141">SUM(N358:N360)</f>
        <v>0</v>
      </c>
      <c r="O357" s="9">
        <f t="shared" ref="O357" si="142">SUM(O358:O360)</f>
        <v>0</v>
      </c>
      <c r="P357" s="9">
        <f t="shared" ref="P357" si="143">SUM(P358:P360)</f>
        <v>0</v>
      </c>
      <c r="Q357" s="9">
        <f t="shared" ref="Q357" si="144">SUM(Q358:Q360)</f>
        <v>0</v>
      </c>
      <c r="R357" s="9">
        <f t="shared" ref="R357" si="145">SUM(R358:R360)</f>
        <v>0</v>
      </c>
      <c r="S357" s="9">
        <f t="shared" ref="S357" si="146">SUM(S358:S360)</f>
        <v>0</v>
      </c>
      <c r="T357" s="9">
        <f t="shared" ref="T357" si="147">SUM(T358:T360)</f>
        <v>0</v>
      </c>
      <c r="U357" s="9">
        <f t="shared" ref="U357" si="148">SUM(U358:U360)</f>
        <v>0</v>
      </c>
      <c r="V357" s="9">
        <f t="shared" ref="V357" si="149">SUM(V358:V360)</f>
        <v>0</v>
      </c>
      <c r="W357" s="9">
        <f t="shared" ref="W357" si="150">SUM(W358:W360)</f>
        <v>0</v>
      </c>
      <c r="X357" s="9">
        <f t="shared" ref="X357" si="151">SUM(X358:X360)</f>
        <v>0</v>
      </c>
      <c r="Y357" s="9">
        <f>SUM(Y358:Y360)</f>
        <v>0</v>
      </c>
      <c r="Z357" s="9">
        <f t="shared" ref="Z357" si="152">SUM(Z358:Z360)</f>
        <v>0</v>
      </c>
      <c r="AA357" s="67">
        <f>SUM(AA358:AA360)</f>
        <v>0</v>
      </c>
    </row>
    <row r="358" spans="1:27" x14ac:dyDescent="0.2">
      <c r="B358" s="115" t="s">
        <v>167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7"/>
    </row>
    <row r="359" spans="1:27" x14ac:dyDescent="0.2">
      <c r="B359" s="115" t="s">
        <v>168</v>
      </c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7"/>
    </row>
    <row r="360" spans="1:27" x14ac:dyDescent="0.2">
      <c r="B360" s="115" t="s">
        <v>169</v>
      </c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7"/>
    </row>
    <row r="361" spans="1:27" x14ac:dyDescent="0.2">
      <c r="B361" s="68" t="s">
        <v>170</v>
      </c>
      <c r="C361" s="8">
        <f>C351-C357</f>
        <v>980820.45</v>
      </c>
      <c r="D361" s="8">
        <f t="shared" ref="D361:X361" si="153">D351-D357</f>
        <v>3259696.8</v>
      </c>
      <c r="E361" s="8">
        <f t="shared" si="153"/>
        <v>0</v>
      </c>
      <c r="F361" s="8">
        <f t="shared" si="153"/>
        <v>0</v>
      </c>
      <c r="G361" s="8">
        <f t="shared" si="153"/>
        <v>0</v>
      </c>
      <c r="H361" s="8">
        <f t="shared" si="153"/>
        <v>0</v>
      </c>
      <c r="I361" s="8">
        <f t="shared" si="153"/>
        <v>0</v>
      </c>
      <c r="J361" s="8">
        <f t="shared" si="153"/>
        <v>0</v>
      </c>
      <c r="K361" s="8">
        <f t="shared" si="153"/>
        <v>0</v>
      </c>
      <c r="L361" s="8">
        <f t="shared" si="153"/>
        <v>0</v>
      </c>
      <c r="M361" s="8">
        <f t="shared" si="153"/>
        <v>0</v>
      </c>
      <c r="N361" s="8">
        <f t="shared" si="153"/>
        <v>0</v>
      </c>
      <c r="O361" s="8">
        <f t="shared" si="153"/>
        <v>0</v>
      </c>
      <c r="P361" s="8">
        <f t="shared" si="153"/>
        <v>0</v>
      </c>
      <c r="Q361" s="8">
        <f t="shared" si="153"/>
        <v>0</v>
      </c>
      <c r="R361" s="8">
        <f t="shared" si="153"/>
        <v>0</v>
      </c>
      <c r="S361" s="8">
        <f t="shared" si="153"/>
        <v>0</v>
      </c>
      <c r="T361" s="8">
        <f t="shared" si="153"/>
        <v>0</v>
      </c>
      <c r="U361" s="8">
        <f t="shared" si="153"/>
        <v>0</v>
      </c>
      <c r="V361" s="8">
        <f t="shared" si="153"/>
        <v>0</v>
      </c>
      <c r="W361" s="8">
        <f t="shared" si="153"/>
        <v>0</v>
      </c>
      <c r="X361" s="8">
        <f t="shared" si="153"/>
        <v>0</v>
      </c>
      <c r="Y361" s="8">
        <f>Y351-Y357</f>
        <v>0</v>
      </c>
      <c r="Z361" s="8">
        <f t="shared" ref="Z361" si="154">Z351-Z357</f>
        <v>0</v>
      </c>
      <c r="AA361" s="65">
        <f>AA351-AA357</f>
        <v>0</v>
      </c>
    </row>
    <row r="362" spans="1:27" x14ac:dyDescent="0.2">
      <c r="B362" s="68" t="s">
        <v>171</v>
      </c>
      <c r="C362" s="8">
        <f>C345+C349+C361</f>
        <v>2125540.9000000008</v>
      </c>
      <c r="D362" s="8">
        <f t="shared" ref="D362" si="155">D345+D349+D361</f>
        <v>2125540.9000000013</v>
      </c>
      <c r="E362" s="8">
        <f t="shared" ref="E362" si="156">E345+E349+E361</f>
        <v>2362967.4999999991</v>
      </c>
      <c r="F362" s="8">
        <f t="shared" ref="F362" si="157">F345+F349+F361</f>
        <v>2362967.4999999991</v>
      </c>
      <c r="G362" s="8">
        <f t="shared" ref="G362" si="158">G345+G349+G361</f>
        <v>2362967.4999999991</v>
      </c>
      <c r="H362" s="8">
        <f t="shared" ref="H362" si="159">H345+H349+H361</f>
        <v>2362967.5000000005</v>
      </c>
      <c r="I362" s="8">
        <f t="shared" ref="I362" si="160">I345+I349+I361</f>
        <v>2150941.6400000006</v>
      </c>
      <c r="J362" s="8">
        <f t="shared" ref="J362" si="161">J345+J349+J361</f>
        <v>2327760.0800000024</v>
      </c>
      <c r="K362" s="8">
        <f t="shared" ref="K362" si="162">K345+K349+K361</f>
        <v>2327760.0800000024</v>
      </c>
      <c r="L362" s="8">
        <f t="shared" ref="L362" si="163">L345+L349+L361</f>
        <v>2327760.0800000024</v>
      </c>
      <c r="M362" s="8">
        <f t="shared" ref="M362" si="164">M345+M349+M361</f>
        <v>2327760.0800000019</v>
      </c>
      <c r="N362" s="8">
        <f t="shared" ref="N362" si="165">N345+N349+N361</f>
        <v>2115734.2200000021</v>
      </c>
      <c r="O362" s="8">
        <f t="shared" ref="O362" si="166">O345+O349+O361</f>
        <v>2327760.0800000019</v>
      </c>
      <c r="P362" s="8">
        <f t="shared" ref="P362" si="167">P345+P349+P361</f>
        <v>2327760.0800000019</v>
      </c>
      <c r="Q362" s="8">
        <f t="shared" ref="Q362" si="168">Q345+Q349+Q361</f>
        <v>2327760.0800000019</v>
      </c>
      <c r="R362" s="8">
        <f t="shared" ref="R362" si="169">R345+R349+R361</f>
        <v>2327760.0799999996</v>
      </c>
      <c r="S362" s="8">
        <f t="shared" ref="S362" si="170">S345+S349+S361</f>
        <v>2115734.2199999997</v>
      </c>
      <c r="T362" s="8">
        <f t="shared" ref="T362" si="171">T345+T349+T361</f>
        <v>2327760.0799999996</v>
      </c>
      <c r="U362" s="8">
        <f t="shared" ref="U362" si="172">U345+U349+U361</f>
        <v>2327760.0799999996</v>
      </c>
      <c r="V362" s="8">
        <f t="shared" ref="V362" si="173">V345+V349+V361</f>
        <v>2327760.0799999996</v>
      </c>
      <c r="W362" s="8">
        <f t="shared" ref="W362" si="174">W345+W349+W361</f>
        <v>2327760.080000001</v>
      </c>
      <c r="X362" s="8">
        <f t="shared" ref="X362" si="175">X345+X349+X361</f>
        <v>2115734.2200000011</v>
      </c>
      <c r="Y362" s="8">
        <f>Y345+Y349+Y361</f>
        <v>2327760.080000001</v>
      </c>
      <c r="Z362" s="8">
        <f t="shared" ref="Z362" si="176">Z345+Z349+Z361</f>
        <v>2327760.080000001</v>
      </c>
      <c r="AA362" s="65">
        <f>AA345+AA349+AA361</f>
        <v>2327760.0800000005</v>
      </c>
    </row>
    <row r="363" spans="1:27" x14ac:dyDescent="0.2">
      <c r="B363" s="68" t="s">
        <v>172</v>
      </c>
      <c r="C363" s="8">
        <v>0</v>
      </c>
      <c r="D363" s="8">
        <f>C364</f>
        <v>2125540.9000000008</v>
      </c>
      <c r="E363" s="8">
        <f t="shared" ref="E363:AA363" si="177">D364</f>
        <v>4251081.8000000026</v>
      </c>
      <c r="F363" s="8">
        <f t="shared" si="177"/>
        <v>6614049.3000000017</v>
      </c>
      <c r="G363" s="8">
        <f t="shared" si="177"/>
        <v>8977016.8000000007</v>
      </c>
      <c r="H363" s="8">
        <f t="shared" si="177"/>
        <v>11339984.300000001</v>
      </c>
      <c r="I363" s="8">
        <f t="shared" si="177"/>
        <v>13702951.800000001</v>
      </c>
      <c r="J363" s="8">
        <f t="shared" si="177"/>
        <v>15853893.440000001</v>
      </c>
      <c r="K363" s="8">
        <f t="shared" si="177"/>
        <v>18181653.520000003</v>
      </c>
      <c r="L363" s="8">
        <f t="shared" si="177"/>
        <v>20509413.600000005</v>
      </c>
      <c r="M363" s="8">
        <f t="shared" si="177"/>
        <v>22837173.680000007</v>
      </c>
      <c r="N363" s="8">
        <f t="shared" si="177"/>
        <v>25164933.760000009</v>
      </c>
      <c r="O363" s="8">
        <f t="shared" si="177"/>
        <v>27280667.980000012</v>
      </c>
      <c r="P363" s="8">
        <f t="shared" si="177"/>
        <v>29608428.060000014</v>
      </c>
      <c r="Q363" s="8">
        <f t="shared" si="177"/>
        <v>31936188.140000015</v>
      </c>
      <c r="R363" s="8">
        <f t="shared" si="177"/>
        <v>34263948.220000014</v>
      </c>
      <c r="S363" s="8">
        <f t="shared" si="177"/>
        <v>36591708.300000012</v>
      </c>
      <c r="T363" s="8">
        <f t="shared" si="177"/>
        <v>38707442.520000011</v>
      </c>
      <c r="U363" s="8">
        <f t="shared" si="177"/>
        <v>41035202.600000009</v>
      </c>
      <c r="V363" s="8">
        <f t="shared" si="177"/>
        <v>43362962.680000007</v>
      </c>
      <c r="W363" s="8">
        <f t="shared" si="177"/>
        <v>45690722.760000005</v>
      </c>
      <c r="X363" s="8">
        <f t="shared" si="177"/>
        <v>48018482.840000004</v>
      </c>
      <c r="Y363" s="8">
        <f t="shared" si="177"/>
        <v>50134217.060000002</v>
      </c>
      <c r="Z363" s="8">
        <f t="shared" si="177"/>
        <v>52461977.140000001</v>
      </c>
      <c r="AA363" s="65">
        <f t="shared" si="177"/>
        <v>54789737.219999999</v>
      </c>
    </row>
    <row r="364" spans="1:27" x14ac:dyDescent="0.2">
      <c r="B364" s="69" t="s">
        <v>173</v>
      </c>
      <c r="C364" s="70">
        <f>C363+C362</f>
        <v>2125540.9000000008</v>
      </c>
      <c r="D364" s="70">
        <f t="shared" ref="D364" si="178">D363+D362</f>
        <v>4251081.8000000026</v>
      </c>
      <c r="E364" s="70">
        <f t="shared" ref="E364" si="179">E363+E362</f>
        <v>6614049.3000000017</v>
      </c>
      <c r="F364" s="70">
        <f t="shared" ref="F364" si="180">F363+F362</f>
        <v>8977016.8000000007</v>
      </c>
      <c r="G364" s="70">
        <f t="shared" ref="G364" si="181">G363+G362</f>
        <v>11339984.300000001</v>
      </c>
      <c r="H364" s="70">
        <f t="shared" ref="H364" si="182">H363+H362</f>
        <v>13702951.800000001</v>
      </c>
      <c r="I364" s="70">
        <f t="shared" ref="I364" si="183">I363+I362</f>
        <v>15853893.440000001</v>
      </c>
      <c r="J364" s="70">
        <f t="shared" ref="J364" si="184">J363+J362</f>
        <v>18181653.520000003</v>
      </c>
      <c r="K364" s="70">
        <f t="shared" ref="K364" si="185">K363+K362</f>
        <v>20509413.600000005</v>
      </c>
      <c r="L364" s="70">
        <f t="shared" ref="L364" si="186">L363+L362</f>
        <v>22837173.680000007</v>
      </c>
      <c r="M364" s="70">
        <f t="shared" ref="M364" si="187">M363+M362</f>
        <v>25164933.760000009</v>
      </c>
      <c r="N364" s="70">
        <f t="shared" ref="N364" si="188">N363+N362</f>
        <v>27280667.980000012</v>
      </c>
      <c r="O364" s="70">
        <f t="shared" ref="O364" si="189">O363+O362</f>
        <v>29608428.060000014</v>
      </c>
      <c r="P364" s="70">
        <f t="shared" ref="P364" si="190">P363+P362</f>
        <v>31936188.140000015</v>
      </c>
      <c r="Q364" s="70">
        <f t="shared" ref="Q364" si="191">Q363+Q362</f>
        <v>34263948.220000014</v>
      </c>
      <c r="R364" s="70">
        <f t="shared" ref="R364" si="192">R363+R362</f>
        <v>36591708.300000012</v>
      </c>
      <c r="S364" s="70">
        <f t="shared" ref="S364" si="193">S363+S362</f>
        <v>38707442.520000011</v>
      </c>
      <c r="T364" s="70">
        <f t="shared" ref="T364" si="194">T363+T362</f>
        <v>41035202.600000009</v>
      </c>
      <c r="U364" s="70">
        <f t="shared" ref="U364" si="195">U363+U362</f>
        <v>43362962.680000007</v>
      </c>
      <c r="V364" s="70">
        <f t="shared" ref="V364" si="196">V363+V362</f>
        <v>45690722.760000005</v>
      </c>
      <c r="W364" s="70">
        <f t="shared" ref="W364" si="197">W363+W362</f>
        <v>48018482.840000004</v>
      </c>
      <c r="X364" s="70">
        <f t="shared" ref="X364" si="198">X363+X362</f>
        <v>50134217.060000002</v>
      </c>
      <c r="Y364" s="70">
        <f>Y363+Y362</f>
        <v>52461977.140000001</v>
      </c>
      <c r="Z364" s="70">
        <f t="shared" ref="Z364" si="199">Z363+Z362</f>
        <v>54789737.219999999</v>
      </c>
      <c r="AA364" s="71">
        <f>AA363+AA362</f>
        <v>57117497.299999997</v>
      </c>
    </row>
    <row r="368" spans="1:27" x14ac:dyDescent="0.2">
      <c r="A368" s="7" t="s">
        <v>230</v>
      </c>
      <c r="B368" s="7" t="s">
        <v>177</v>
      </c>
    </row>
    <row r="369" spans="1:27" x14ac:dyDescent="0.2">
      <c r="A369" s="113"/>
      <c r="B369" s="114" t="s">
        <v>175</v>
      </c>
      <c r="C369" s="11">
        <f t="shared" ref="C369:AA369" si="200">C$160</f>
        <v>2016</v>
      </c>
      <c r="D369" s="11">
        <f t="shared" si="200"/>
        <v>2017</v>
      </c>
      <c r="E369" s="11">
        <f t="shared" si="200"/>
        <v>2018</v>
      </c>
      <c r="F369" s="11">
        <f t="shared" si="200"/>
        <v>2019</v>
      </c>
      <c r="G369" s="11">
        <f t="shared" si="200"/>
        <v>2020</v>
      </c>
      <c r="H369" s="11">
        <f t="shared" si="200"/>
        <v>2021</v>
      </c>
      <c r="I369" s="11">
        <f t="shared" si="200"/>
        <v>2022</v>
      </c>
      <c r="J369" s="11">
        <f t="shared" si="200"/>
        <v>2023</v>
      </c>
      <c r="K369" s="11">
        <f t="shared" si="200"/>
        <v>2024</v>
      </c>
      <c r="L369" s="11">
        <f t="shared" si="200"/>
        <v>2025</v>
      </c>
      <c r="M369" s="11">
        <f t="shared" si="200"/>
        <v>2026</v>
      </c>
      <c r="N369" s="11">
        <f t="shared" si="200"/>
        <v>2027</v>
      </c>
      <c r="O369" s="11">
        <f t="shared" si="200"/>
        <v>2028</v>
      </c>
      <c r="P369" s="11">
        <f t="shared" si="200"/>
        <v>2029</v>
      </c>
      <c r="Q369" s="11">
        <f t="shared" si="200"/>
        <v>2030</v>
      </c>
      <c r="R369" s="11">
        <f t="shared" si="200"/>
        <v>2031</v>
      </c>
      <c r="S369" s="11">
        <f t="shared" si="200"/>
        <v>2032</v>
      </c>
      <c r="T369" s="11">
        <f t="shared" si="200"/>
        <v>2033</v>
      </c>
      <c r="U369" s="11">
        <f t="shared" si="200"/>
        <v>2034</v>
      </c>
      <c r="V369" s="11">
        <f t="shared" si="200"/>
        <v>2035</v>
      </c>
      <c r="W369" s="11">
        <f t="shared" si="200"/>
        <v>2036</v>
      </c>
      <c r="X369" s="11">
        <f t="shared" si="200"/>
        <v>2037</v>
      </c>
      <c r="Y369" s="11">
        <f t="shared" si="200"/>
        <v>2038</v>
      </c>
      <c r="Z369" s="11">
        <f t="shared" si="200"/>
        <v>2039</v>
      </c>
      <c r="AA369" s="12">
        <f t="shared" si="200"/>
        <v>2040</v>
      </c>
    </row>
    <row r="370" spans="1:27" x14ac:dyDescent="0.2">
      <c r="B370" s="68" t="s">
        <v>144</v>
      </c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8"/>
    </row>
    <row r="371" spans="1:27" x14ac:dyDescent="0.2">
      <c r="B371" s="68" t="s">
        <v>145</v>
      </c>
      <c r="C371" s="43">
        <f>C333-C295</f>
        <v>0</v>
      </c>
      <c r="D371" s="43">
        <f t="shared" ref="D371:AA373" si="201">D333-D295</f>
        <v>-106012.92999999973</v>
      </c>
      <c r="E371" s="43">
        <f t="shared" si="201"/>
        <v>189532.20999999804</v>
      </c>
      <c r="F371" s="43">
        <f t="shared" si="201"/>
        <v>189532.20999999804</v>
      </c>
      <c r="G371" s="43">
        <f t="shared" si="201"/>
        <v>189532.20999999804</v>
      </c>
      <c r="H371" s="43">
        <f t="shared" si="201"/>
        <v>184231.55999999953</v>
      </c>
      <c r="I371" s="43">
        <f t="shared" si="201"/>
        <v>184231.55999999953</v>
      </c>
      <c r="J371" s="43">
        <f t="shared" si="201"/>
        <v>149024.14000000147</v>
      </c>
      <c r="K371" s="43">
        <f t="shared" si="201"/>
        <v>149024.14000000147</v>
      </c>
      <c r="L371" s="43">
        <f t="shared" si="201"/>
        <v>149024.14000000147</v>
      </c>
      <c r="M371" s="43">
        <f t="shared" si="201"/>
        <v>143723.50000000087</v>
      </c>
      <c r="N371" s="43">
        <f t="shared" si="201"/>
        <v>143723.50000000087</v>
      </c>
      <c r="O371" s="43">
        <f t="shared" si="201"/>
        <v>143723.50000000087</v>
      </c>
      <c r="P371" s="43">
        <f t="shared" si="201"/>
        <v>143723.50000000087</v>
      </c>
      <c r="Q371" s="43">
        <f t="shared" si="201"/>
        <v>143723.50000000087</v>
      </c>
      <c r="R371" s="43">
        <f t="shared" si="201"/>
        <v>138422.84999999864</v>
      </c>
      <c r="S371" s="43">
        <f t="shared" si="201"/>
        <v>138422.84999999864</v>
      </c>
      <c r="T371" s="43">
        <f t="shared" si="201"/>
        <v>138422.84999999864</v>
      </c>
      <c r="U371" s="43">
        <f t="shared" si="201"/>
        <v>138422.84999999864</v>
      </c>
      <c r="V371" s="43">
        <f t="shared" si="201"/>
        <v>138422.84999999864</v>
      </c>
      <c r="W371" s="43">
        <f t="shared" si="201"/>
        <v>133122.20000000013</v>
      </c>
      <c r="X371" s="43">
        <f t="shared" si="201"/>
        <v>133122.20000000013</v>
      </c>
      <c r="Y371" s="43">
        <f t="shared" si="201"/>
        <v>133122.20000000013</v>
      </c>
      <c r="Z371" s="43">
        <f t="shared" si="201"/>
        <v>133122.20000000013</v>
      </c>
      <c r="AA371" s="61">
        <f t="shared" si="201"/>
        <v>260337.71999999965</v>
      </c>
    </row>
    <row r="372" spans="1:27" x14ac:dyDescent="0.2">
      <c r="B372" s="68" t="s">
        <v>146</v>
      </c>
      <c r="C372" s="8">
        <f>SUM(C373:C382)</f>
        <v>0</v>
      </c>
      <c r="D372" s="8">
        <f t="shared" ref="D372" si="202">SUM(D373:D382)</f>
        <v>106012.92999999993</v>
      </c>
      <c r="E372" s="8">
        <f t="shared" ref="E372" si="203">SUM(E373:E382)</f>
        <v>47894.389999999934</v>
      </c>
      <c r="F372" s="8">
        <f t="shared" ref="F372" si="204">SUM(F373:F382)</f>
        <v>47894.389999999934</v>
      </c>
      <c r="G372" s="8">
        <f t="shared" ref="G372" si="205">SUM(G373:G382)</f>
        <v>47894.389999999934</v>
      </c>
      <c r="H372" s="8">
        <f t="shared" ref="H372" si="206">SUM(H373:H382)</f>
        <v>53195.039999999841</v>
      </c>
      <c r="I372" s="8">
        <f t="shared" ref="I372" si="207">SUM(I373:I382)</f>
        <v>53195.039999999841</v>
      </c>
      <c r="J372" s="8">
        <f t="shared" ref="J372" si="208">SUM(J373:J382)</f>
        <v>53195.039999999841</v>
      </c>
      <c r="K372" s="8">
        <f t="shared" ref="K372" si="209">SUM(K373:K382)</f>
        <v>53195.039999999841</v>
      </c>
      <c r="L372" s="8">
        <f t="shared" ref="L372" si="210">SUM(L373:L382)</f>
        <v>53195.039999999841</v>
      </c>
      <c r="M372" s="8">
        <f t="shared" ref="M372" si="211">SUM(M373:M382)</f>
        <v>58495.679999999971</v>
      </c>
      <c r="N372" s="8">
        <f t="shared" ref="N372" si="212">SUM(N373:N382)</f>
        <v>58495.679999999971</v>
      </c>
      <c r="O372" s="8">
        <f t="shared" ref="O372" si="213">SUM(O373:O382)</f>
        <v>58495.679999999971</v>
      </c>
      <c r="P372" s="8">
        <f t="shared" ref="P372" si="214">SUM(P373:P382)</f>
        <v>58495.679999999971</v>
      </c>
      <c r="Q372" s="8">
        <f t="shared" ref="Q372" si="215">SUM(Q373:Q382)</f>
        <v>58495.679999999971</v>
      </c>
      <c r="R372" s="8">
        <f t="shared" ref="R372" si="216">SUM(R373:R382)</f>
        <v>63796.329999999878</v>
      </c>
      <c r="S372" s="8">
        <f t="shared" ref="S372" si="217">SUM(S373:S382)</f>
        <v>63796.329999999878</v>
      </c>
      <c r="T372" s="8">
        <f t="shared" ref="T372" si="218">SUM(T373:T382)</f>
        <v>63796.329999999878</v>
      </c>
      <c r="U372" s="8">
        <f t="shared" ref="U372" si="219">SUM(U373:U382)</f>
        <v>63796.329999999878</v>
      </c>
      <c r="V372" s="8">
        <f t="shared" ref="V372" si="220">SUM(V373:V382)</f>
        <v>63796.329999999878</v>
      </c>
      <c r="W372" s="8">
        <f t="shared" ref="W372" si="221">SUM(W373:W382)</f>
        <v>69096.979999999778</v>
      </c>
      <c r="X372" s="8">
        <f t="shared" ref="X372" si="222">SUM(X373:X382)</f>
        <v>69096.979999999778</v>
      </c>
      <c r="Y372" s="8">
        <f t="shared" ref="Y372" si="223">SUM(Y373:Y382)</f>
        <v>69096.979999999778</v>
      </c>
      <c r="Z372" s="8">
        <f t="shared" ref="Z372" si="224">SUM(Z373:Z382)</f>
        <v>69096.979999999778</v>
      </c>
      <c r="AA372" s="65">
        <f t="shared" ref="AA372" si="225">SUM(AA373:AA382)</f>
        <v>-58118.54</v>
      </c>
    </row>
    <row r="373" spans="1:27" x14ac:dyDescent="0.2">
      <c r="B373" s="115" t="s">
        <v>120</v>
      </c>
      <c r="C373" s="116">
        <f>C335-C297</f>
        <v>0</v>
      </c>
      <c r="D373" s="116">
        <f t="shared" si="201"/>
        <v>106012.92999999993</v>
      </c>
      <c r="E373" s="116">
        <f t="shared" si="201"/>
        <v>106012.92999999993</v>
      </c>
      <c r="F373" s="116">
        <f t="shared" si="201"/>
        <v>106012.92999999993</v>
      </c>
      <c r="G373" s="116">
        <f t="shared" si="201"/>
        <v>106012.92999999993</v>
      </c>
      <c r="H373" s="116">
        <f t="shared" si="201"/>
        <v>111313.57999999984</v>
      </c>
      <c r="I373" s="116">
        <f t="shared" si="201"/>
        <v>111313.57999999984</v>
      </c>
      <c r="J373" s="116">
        <f t="shared" si="201"/>
        <v>111313.57999999984</v>
      </c>
      <c r="K373" s="116">
        <f t="shared" si="201"/>
        <v>111313.57999999984</v>
      </c>
      <c r="L373" s="116">
        <f t="shared" si="201"/>
        <v>111313.57999999984</v>
      </c>
      <c r="M373" s="116">
        <f t="shared" si="201"/>
        <v>116614.21999999997</v>
      </c>
      <c r="N373" s="116">
        <f t="shared" si="201"/>
        <v>116614.21999999997</v>
      </c>
      <c r="O373" s="116">
        <f t="shared" si="201"/>
        <v>116614.21999999997</v>
      </c>
      <c r="P373" s="116">
        <f t="shared" si="201"/>
        <v>116614.21999999997</v>
      </c>
      <c r="Q373" s="116">
        <f t="shared" si="201"/>
        <v>116614.21999999997</v>
      </c>
      <c r="R373" s="116">
        <f t="shared" si="201"/>
        <v>121914.86999999988</v>
      </c>
      <c r="S373" s="116">
        <f t="shared" si="201"/>
        <v>121914.86999999988</v>
      </c>
      <c r="T373" s="116">
        <f t="shared" si="201"/>
        <v>121914.86999999988</v>
      </c>
      <c r="U373" s="116">
        <f t="shared" si="201"/>
        <v>121914.86999999988</v>
      </c>
      <c r="V373" s="116">
        <f t="shared" si="201"/>
        <v>121914.86999999988</v>
      </c>
      <c r="W373" s="116">
        <f t="shared" si="201"/>
        <v>127215.51999999979</v>
      </c>
      <c r="X373" s="116">
        <f t="shared" si="201"/>
        <v>127215.51999999979</v>
      </c>
      <c r="Y373" s="116">
        <f t="shared" si="201"/>
        <v>127215.51999999979</v>
      </c>
      <c r="Z373" s="116">
        <f t="shared" si="201"/>
        <v>127215.51999999979</v>
      </c>
      <c r="AA373" s="117">
        <f t="shared" si="201"/>
        <v>0</v>
      </c>
    </row>
    <row r="374" spans="1:27" x14ac:dyDescent="0.2">
      <c r="B374" s="115" t="s">
        <v>147</v>
      </c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7"/>
    </row>
    <row r="375" spans="1:27" x14ac:dyDescent="0.2">
      <c r="B375" s="115" t="s">
        <v>148</v>
      </c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7"/>
    </row>
    <row r="376" spans="1:27" x14ac:dyDescent="0.2">
      <c r="B376" s="115" t="s">
        <v>149</v>
      </c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7"/>
    </row>
    <row r="377" spans="1:27" x14ac:dyDescent="0.2">
      <c r="B377" s="115" t="s">
        <v>150</v>
      </c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7"/>
    </row>
    <row r="378" spans="1:27" x14ac:dyDescent="0.2">
      <c r="B378" s="115" t="s">
        <v>151</v>
      </c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7"/>
    </row>
    <row r="379" spans="1:27" x14ac:dyDescent="0.2">
      <c r="B379" s="115" t="s">
        <v>152</v>
      </c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7"/>
    </row>
    <row r="380" spans="1:27" x14ac:dyDescent="0.2">
      <c r="B380" s="115" t="s">
        <v>153</v>
      </c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7"/>
    </row>
    <row r="381" spans="1:27" x14ac:dyDescent="0.2">
      <c r="B381" s="115" t="s">
        <v>154</v>
      </c>
      <c r="C381" s="116">
        <f>C343-C305</f>
        <v>0</v>
      </c>
      <c r="D381" s="116">
        <f t="shared" ref="D381:AA381" si="226">D343-D305</f>
        <v>0</v>
      </c>
      <c r="E381" s="116">
        <f t="shared" si="226"/>
        <v>-58118.54</v>
      </c>
      <c r="F381" s="116">
        <f t="shared" si="226"/>
        <v>-58118.54</v>
      </c>
      <c r="G381" s="116">
        <f t="shared" si="226"/>
        <v>-58118.54</v>
      </c>
      <c r="H381" s="116">
        <f t="shared" si="226"/>
        <v>-58118.54</v>
      </c>
      <c r="I381" s="116">
        <f t="shared" si="226"/>
        <v>-58118.54</v>
      </c>
      <c r="J381" s="116">
        <f t="shared" si="226"/>
        <v>-58118.54</v>
      </c>
      <c r="K381" s="116">
        <f t="shared" si="226"/>
        <v>-58118.54</v>
      </c>
      <c r="L381" s="116">
        <f t="shared" si="226"/>
        <v>-58118.54</v>
      </c>
      <c r="M381" s="116">
        <f t="shared" si="226"/>
        <v>-58118.54</v>
      </c>
      <c r="N381" s="116">
        <f t="shared" si="226"/>
        <v>-58118.54</v>
      </c>
      <c r="O381" s="116">
        <f t="shared" si="226"/>
        <v>-58118.54</v>
      </c>
      <c r="P381" s="116">
        <f t="shared" si="226"/>
        <v>-58118.54</v>
      </c>
      <c r="Q381" s="116">
        <f t="shared" si="226"/>
        <v>-58118.54</v>
      </c>
      <c r="R381" s="116">
        <f t="shared" si="226"/>
        <v>-58118.54</v>
      </c>
      <c r="S381" s="116">
        <f t="shared" si="226"/>
        <v>-58118.54</v>
      </c>
      <c r="T381" s="116">
        <f t="shared" si="226"/>
        <v>-58118.54</v>
      </c>
      <c r="U381" s="116">
        <f t="shared" si="226"/>
        <v>-58118.54</v>
      </c>
      <c r="V381" s="116">
        <f t="shared" si="226"/>
        <v>-58118.54</v>
      </c>
      <c r="W381" s="116">
        <f t="shared" si="226"/>
        <v>-58118.54</v>
      </c>
      <c r="X381" s="116">
        <f t="shared" si="226"/>
        <v>-58118.54</v>
      </c>
      <c r="Y381" s="116">
        <f t="shared" si="226"/>
        <v>-58118.54</v>
      </c>
      <c r="Z381" s="116">
        <f t="shared" si="226"/>
        <v>-58118.54</v>
      </c>
      <c r="AA381" s="117">
        <f t="shared" si="226"/>
        <v>-58118.54</v>
      </c>
    </row>
    <row r="382" spans="1:27" x14ac:dyDescent="0.2">
      <c r="B382" s="115" t="s">
        <v>155</v>
      </c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7"/>
    </row>
    <row r="383" spans="1:27" x14ac:dyDescent="0.2">
      <c r="B383" s="68" t="s">
        <v>156</v>
      </c>
      <c r="C383" s="8">
        <f>C372+C371</f>
        <v>0</v>
      </c>
      <c r="D383" s="8">
        <f t="shared" ref="D383:X383" si="227">D372+D371</f>
        <v>2.0372681319713593E-10</v>
      </c>
      <c r="E383" s="8">
        <f t="shared" si="227"/>
        <v>237426.59999999797</v>
      </c>
      <c r="F383" s="8">
        <f t="shared" si="227"/>
        <v>237426.59999999797</v>
      </c>
      <c r="G383" s="8">
        <f t="shared" si="227"/>
        <v>237426.59999999797</v>
      </c>
      <c r="H383" s="8">
        <f t="shared" si="227"/>
        <v>237426.59999999937</v>
      </c>
      <c r="I383" s="8">
        <f t="shared" si="227"/>
        <v>237426.59999999937</v>
      </c>
      <c r="J383" s="8">
        <f t="shared" si="227"/>
        <v>202219.1800000013</v>
      </c>
      <c r="K383" s="8">
        <f t="shared" si="227"/>
        <v>202219.1800000013</v>
      </c>
      <c r="L383" s="8">
        <f t="shared" si="227"/>
        <v>202219.1800000013</v>
      </c>
      <c r="M383" s="8">
        <f t="shared" si="227"/>
        <v>202219.18000000084</v>
      </c>
      <c r="N383" s="8">
        <f t="shared" si="227"/>
        <v>202219.18000000084</v>
      </c>
      <c r="O383" s="8">
        <f t="shared" si="227"/>
        <v>202219.18000000084</v>
      </c>
      <c r="P383" s="8">
        <f t="shared" si="227"/>
        <v>202219.18000000084</v>
      </c>
      <c r="Q383" s="8">
        <f t="shared" si="227"/>
        <v>202219.18000000084</v>
      </c>
      <c r="R383" s="8">
        <f t="shared" si="227"/>
        <v>202219.17999999851</v>
      </c>
      <c r="S383" s="8">
        <f t="shared" si="227"/>
        <v>202219.17999999851</v>
      </c>
      <c r="T383" s="8">
        <f t="shared" si="227"/>
        <v>202219.17999999851</v>
      </c>
      <c r="U383" s="8">
        <f t="shared" si="227"/>
        <v>202219.17999999851</v>
      </c>
      <c r="V383" s="8">
        <f t="shared" si="227"/>
        <v>202219.17999999851</v>
      </c>
      <c r="W383" s="8">
        <f t="shared" si="227"/>
        <v>202219.17999999991</v>
      </c>
      <c r="X383" s="8">
        <f t="shared" si="227"/>
        <v>202219.17999999991</v>
      </c>
      <c r="Y383" s="8">
        <f>Y372+Y371</f>
        <v>202219.17999999991</v>
      </c>
      <c r="Z383" s="8">
        <f t="shared" ref="Z383" si="228">Z372+Z371</f>
        <v>202219.17999999991</v>
      </c>
      <c r="AA383" s="65">
        <f>AA372+AA371</f>
        <v>202219.17999999964</v>
      </c>
    </row>
    <row r="384" spans="1:27" x14ac:dyDescent="0.2">
      <c r="B384" s="68" t="s">
        <v>157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67"/>
    </row>
    <row r="385" spans="2:27" x14ac:dyDescent="0.2">
      <c r="B385" s="118" t="s">
        <v>158</v>
      </c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7"/>
    </row>
    <row r="386" spans="2:27" x14ac:dyDescent="0.2">
      <c r="B386" s="118" t="s">
        <v>159</v>
      </c>
      <c r="C386" s="116">
        <f>C348-C310</f>
        <v>980820.45</v>
      </c>
      <c r="D386" s="116">
        <f t="shared" ref="D386:AA386" si="229">D348-D310</f>
        <v>3259696.8</v>
      </c>
      <c r="E386" s="116">
        <f t="shared" si="229"/>
        <v>0</v>
      </c>
      <c r="F386" s="116">
        <f t="shared" si="229"/>
        <v>0</v>
      </c>
      <c r="G386" s="116">
        <f t="shared" si="229"/>
        <v>0</v>
      </c>
      <c r="H386" s="116">
        <f t="shared" si="229"/>
        <v>0</v>
      </c>
      <c r="I386" s="116">
        <f t="shared" si="229"/>
        <v>212025.86</v>
      </c>
      <c r="J386" s="116">
        <f t="shared" si="229"/>
        <v>0</v>
      </c>
      <c r="K386" s="116">
        <f t="shared" si="229"/>
        <v>0</v>
      </c>
      <c r="L386" s="116">
        <f t="shared" si="229"/>
        <v>0</v>
      </c>
      <c r="M386" s="116">
        <f t="shared" si="229"/>
        <v>0</v>
      </c>
      <c r="N386" s="116">
        <f t="shared" si="229"/>
        <v>212025.86</v>
      </c>
      <c r="O386" s="116">
        <f t="shared" si="229"/>
        <v>0</v>
      </c>
      <c r="P386" s="116">
        <f t="shared" si="229"/>
        <v>0</v>
      </c>
      <c r="Q386" s="116">
        <f t="shared" si="229"/>
        <v>0</v>
      </c>
      <c r="R386" s="116">
        <f t="shared" si="229"/>
        <v>0</v>
      </c>
      <c r="S386" s="116">
        <f t="shared" si="229"/>
        <v>212025.86</v>
      </c>
      <c r="T386" s="116">
        <f t="shared" si="229"/>
        <v>0</v>
      </c>
      <c r="U386" s="116">
        <f t="shared" si="229"/>
        <v>0</v>
      </c>
      <c r="V386" s="116">
        <f t="shared" si="229"/>
        <v>0</v>
      </c>
      <c r="W386" s="116">
        <f t="shared" si="229"/>
        <v>0</v>
      </c>
      <c r="X386" s="116">
        <f t="shared" si="229"/>
        <v>212025.86</v>
      </c>
      <c r="Y386" s="116">
        <f t="shared" si="229"/>
        <v>0</v>
      </c>
      <c r="Z386" s="116">
        <f t="shared" si="229"/>
        <v>0</v>
      </c>
      <c r="AA386" s="117">
        <f t="shared" si="229"/>
        <v>0</v>
      </c>
    </row>
    <row r="387" spans="2:27" x14ac:dyDescent="0.2">
      <c r="B387" s="68" t="s">
        <v>160</v>
      </c>
      <c r="C387" s="8">
        <f>C385-C386</f>
        <v>-980820.45</v>
      </c>
      <c r="D387" s="8">
        <f t="shared" ref="D387" si="230">D385-D386</f>
        <v>-3259696.8</v>
      </c>
      <c r="E387" s="8">
        <f t="shared" ref="E387" si="231">E385-E386</f>
        <v>0</v>
      </c>
      <c r="F387" s="8">
        <f t="shared" ref="F387" si="232">F385-F386</f>
        <v>0</v>
      </c>
      <c r="G387" s="8">
        <f t="shared" ref="G387" si="233">G385-G386</f>
        <v>0</v>
      </c>
      <c r="H387" s="8">
        <f t="shared" ref="H387" si="234">H385-H386</f>
        <v>0</v>
      </c>
      <c r="I387" s="8">
        <f t="shared" ref="I387" si="235">I385-I386</f>
        <v>-212025.86</v>
      </c>
      <c r="J387" s="8">
        <f t="shared" ref="J387" si="236">J385-J386</f>
        <v>0</v>
      </c>
      <c r="K387" s="8">
        <f t="shared" ref="K387" si="237">K385-K386</f>
        <v>0</v>
      </c>
      <c r="L387" s="8">
        <f t="shared" ref="L387" si="238">L385-L386</f>
        <v>0</v>
      </c>
      <c r="M387" s="8">
        <f t="shared" ref="M387" si="239">M385-M386</f>
        <v>0</v>
      </c>
      <c r="N387" s="8">
        <f t="shared" ref="N387" si="240">N385-N386</f>
        <v>-212025.86</v>
      </c>
      <c r="O387" s="8">
        <f t="shared" ref="O387" si="241">O385-O386</f>
        <v>0</v>
      </c>
      <c r="P387" s="8">
        <f t="shared" ref="P387" si="242">P385-P386</f>
        <v>0</v>
      </c>
      <c r="Q387" s="8">
        <f t="shared" ref="Q387" si="243">Q385-Q386</f>
        <v>0</v>
      </c>
      <c r="R387" s="8">
        <f t="shared" ref="R387" si="244">R385-R386</f>
        <v>0</v>
      </c>
      <c r="S387" s="8">
        <f t="shared" ref="S387" si="245">S385-S386</f>
        <v>-212025.86</v>
      </c>
      <c r="T387" s="8">
        <f t="shared" ref="T387" si="246">T385-T386</f>
        <v>0</v>
      </c>
      <c r="U387" s="8">
        <f t="shared" ref="U387" si="247">U385-U386</f>
        <v>0</v>
      </c>
      <c r="V387" s="8">
        <f t="shared" ref="V387" si="248">V385-V386</f>
        <v>0</v>
      </c>
      <c r="W387" s="8">
        <f t="shared" ref="W387" si="249">W385-W386</f>
        <v>0</v>
      </c>
      <c r="X387" s="8">
        <f t="shared" ref="X387" si="250">X385-X386</f>
        <v>-212025.86</v>
      </c>
      <c r="Y387" s="8">
        <f>Y385-Y386</f>
        <v>0</v>
      </c>
      <c r="Z387" s="8">
        <f t="shared" ref="Z387" si="251">Z385-Z386</f>
        <v>0</v>
      </c>
      <c r="AA387" s="65">
        <f>AA385-AA386</f>
        <v>0</v>
      </c>
    </row>
    <row r="388" spans="2:27" x14ac:dyDescent="0.2">
      <c r="B388" s="68" t="s">
        <v>161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65"/>
    </row>
    <row r="389" spans="2:27" x14ac:dyDescent="0.2">
      <c r="B389" s="118" t="s">
        <v>158</v>
      </c>
      <c r="C389" s="9">
        <f>SUM(C390:C394)</f>
        <v>980820.45</v>
      </c>
      <c r="D389" s="9">
        <f t="shared" ref="D389" si="252">SUM(D390:D394)</f>
        <v>3259696.8</v>
      </c>
      <c r="E389" s="9">
        <f t="shared" ref="E389" si="253">SUM(E390:E394)</f>
        <v>0</v>
      </c>
      <c r="F389" s="9">
        <f t="shared" ref="F389" si="254">SUM(F390:F394)</f>
        <v>0</v>
      </c>
      <c r="G389" s="9">
        <f t="shared" ref="G389" si="255">SUM(G390:G394)</f>
        <v>0</v>
      </c>
      <c r="H389" s="9">
        <f t="shared" ref="H389" si="256">SUM(H390:H394)</f>
        <v>0</v>
      </c>
      <c r="I389" s="9">
        <f t="shared" ref="I389" si="257">SUM(I390:I394)</f>
        <v>0</v>
      </c>
      <c r="J389" s="9">
        <f t="shared" ref="J389" si="258">SUM(J390:J394)</f>
        <v>0</v>
      </c>
      <c r="K389" s="9">
        <f t="shared" ref="K389" si="259">SUM(K390:K394)</f>
        <v>0</v>
      </c>
      <c r="L389" s="9">
        <f t="shared" ref="L389" si="260">SUM(L390:L394)</f>
        <v>0</v>
      </c>
      <c r="M389" s="9">
        <f t="shared" ref="M389" si="261">SUM(M390:M394)</f>
        <v>0</v>
      </c>
      <c r="N389" s="9">
        <f t="shared" ref="N389" si="262">SUM(N390:N394)</f>
        <v>0</v>
      </c>
      <c r="O389" s="9">
        <f t="shared" ref="O389" si="263">SUM(O390:O394)</f>
        <v>0</v>
      </c>
      <c r="P389" s="9">
        <f t="shared" ref="P389" si="264">SUM(P390:P394)</f>
        <v>0</v>
      </c>
      <c r="Q389" s="9">
        <f t="shared" ref="Q389" si="265">SUM(Q390:Q394)</f>
        <v>0</v>
      </c>
      <c r="R389" s="9">
        <f t="shared" ref="R389" si="266">SUM(R390:R394)</f>
        <v>0</v>
      </c>
      <c r="S389" s="9">
        <f t="shared" ref="S389" si="267">SUM(S390:S394)</f>
        <v>0</v>
      </c>
      <c r="T389" s="9">
        <f t="shared" ref="T389" si="268">SUM(T390:T394)</f>
        <v>0</v>
      </c>
      <c r="U389" s="9">
        <f t="shared" ref="U389" si="269">SUM(U390:U394)</f>
        <v>0</v>
      </c>
      <c r="V389" s="9">
        <f t="shared" ref="V389" si="270">SUM(V390:V394)</f>
        <v>0</v>
      </c>
      <c r="W389" s="9">
        <f t="shared" ref="W389" si="271">SUM(W390:W394)</f>
        <v>0</v>
      </c>
      <c r="X389" s="9">
        <f t="shared" ref="X389" si="272">SUM(X390:X394)</f>
        <v>0</v>
      </c>
      <c r="Y389" s="9">
        <f>SUM(Y390:Y394)</f>
        <v>0</v>
      </c>
      <c r="Z389" s="9">
        <f t="shared" ref="Z389" si="273">SUM(Z390:Z394)</f>
        <v>0</v>
      </c>
      <c r="AA389" s="67">
        <f>SUM(AA390:AA394)</f>
        <v>0</v>
      </c>
    </row>
    <row r="390" spans="2:27" x14ac:dyDescent="0.2">
      <c r="B390" s="115" t="s">
        <v>162</v>
      </c>
      <c r="C390" s="116">
        <f>C352-C314</f>
        <v>474607.2</v>
      </c>
      <c r="D390" s="116">
        <f t="shared" ref="D390:AA390" si="274">D352-D314</f>
        <v>1441168.55</v>
      </c>
      <c r="E390" s="116">
        <f t="shared" si="274"/>
        <v>0</v>
      </c>
      <c r="F390" s="116">
        <f t="shared" si="274"/>
        <v>0</v>
      </c>
      <c r="G390" s="116">
        <f t="shared" si="274"/>
        <v>0</v>
      </c>
      <c r="H390" s="116">
        <f t="shared" si="274"/>
        <v>0</v>
      </c>
      <c r="I390" s="116">
        <f t="shared" si="274"/>
        <v>0</v>
      </c>
      <c r="J390" s="116">
        <f t="shared" si="274"/>
        <v>0</v>
      </c>
      <c r="K390" s="116">
        <f t="shared" si="274"/>
        <v>0</v>
      </c>
      <c r="L390" s="116">
        <f t="shared" si="274"/>
        <v>0</v>
      </c>
      <c r="M390" s="116">
        <f t="shared" si="274"/>
        <v>0</v>
      </c>
      <c r="N390" s="116">
        <f t="shared" si="274"/>
        <v>0</v>
      </c>
      <c r="O390" s="116">
        <f t="shared" si="274"/>
        <v>0</v>
      </c>
      <c r="P390" s="116">
        <f t="shared" si="274"/>
        <v>0</v>
      </c>
      <c r="Q390" s="116">
        <f t="shared" si="274"/>
        <v>0</v>
      </c>
      <c r="R390" s="116">
        <f t="shared" si="274"/>
        <v>0</v>
      </c>
      <c r="S390" s="116">
        <f t="shared" si="274"/>
        <v>0</v>
      </c>
      <c r="T390" s="116">
        <f t="shared" si="274"/>
        <v>0</v>
      </c>
      <c r="U390" s="116">
        <f t="shared" si="274"/>
        <v>0</v>
      </c>
      <c r="V390" s="116">
        <f t="shared" si="274"/>
        <v>0</v>
      </c>
      <c r="W390" s="116">
        <f t="shared" si="274"/>
        <v>0</v>
      </c>
      <c r="X390" s="116">
        <f t="shared" si="274"/>
        <v>0</v>
      </c>
      <c r="Y390" s="116">
        <f t="shared" si="274"/>
        <v>0</v>
      </c>
      <c r="Z390" s="116">
        <f t="shared" si="274"/>
        <v>0</v>
      </c>
      <c r="AA390" s="117">
        <f t="shared" si="274"/>
        <v>0</v>
      </c>
    </row>
    <row r="391" spans="2:27" x14ac:dyDescent="0.2">
      <c r="B391" s="115" t="s">
        <v>163</v>
      </c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7"/>
    </row>
    <row r="392" spans="2:27" x14ac:dyDescent="0.2">
      <c r="B392" s="115" t="s">
        <v>164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7"/>
    </row>
    <row r="393" spans="2:27" x14ac:dyDescent="0.2">
      <c r="B393" s="115" t="s">
        <v>165</v>
      </c>
      <c r="C393" s="116">
        <f>C355-C317</f>
        <v>506213.25</v>
      </c>
      <c r="D393" s="116">
        <f t="shared" ref="D393:AA393" si="275">D355-D317</f>
        <v>1818528.25</v>
      </c>
      <c r="E393" s="116">
        <f t="shared" si="275"/>
        <v>0</v>
      </c>
      <c r="F393" s="116">
        <f t="shared" si="275"/>
        <v>0</v>
      </c>
      <c r="G393" s="116">
        <f t="shared" si="275"/>
        <v>0</v>
      </c>
      <c r="H393" s="116">
        <f t="shared" si="275"/>
        <v>0</v>
      </c>
      <c r="I393" s="116">
        <f t="shared" si="275"/>
        <v>0</v>
      </c>
      <c r="J393" s="116">
        <f t="shared" si="275"/>
        <v>0</v>
      </c>
      <c r="K393" s="116">
        <f t="shared" si="275"/>
        <v>0</v>
      </c>
      <c r="L393" s="116">
        <f t="shared" si="275"/>
        <v>0</v>
      </c>
      <c r="M393" s="116">
        <f t="shared" si="275"/>
        <v>0</v>
      </c>
      <c r="N393" s="116">
        <f t="shared" si="275"/>
        <v>0</v>
      </c>
      <c r="O393" s="116">
        <f t="shared" si="275"/>
        <v>0</v>
      </c>
      <c r="P393" s="116">
        <f t="shared" si="275"/>
        <v>0</v>
      </c>
      <c r="Q393" s="116">
        <f t="shared" si="275"/>
        <v>0</v>
      </c>
      <c r="R393" s="116">
        <f t="shared" si="275"/>
        <v>0</v>
      </c>
      <c r="S393" s="116">
        <f t="shared" si="275"/>
        <v>0</v>
      </c>
      <c r="T393" s="116">
        <f t="shared" si="275"/>
        <v>0</v>
      </c>
      <c r="U393" s="116">
        <f t="shared" si="275"/>
        <v>0</v>
      </c>
      <c r="V393" s="116">
        <f t="shared" si="275"/>
        <v>0</v>
      </c>
      <c r="W393" s="116">
        <f t="shared" si="275"/>
        <v>0</v>
      </c>
      <c r="X393" s="116">
        <f t="shared" si="275"/>
        <v>0</v>
      </c>
      <c r="Y393" s="116">
        <f t="shared" si="275"/>
        <v>0</v>
      </c>
      <c r="Z393" s="116">
        <f t="shared" si="275"/>
        <v>0</v>
      </c>
      <c r="AA393" s="117">
        <f t="shared" si="275"/>
        <v>0</v>
      </c>
    </row>
    <row r="394" spans="2:27" x14ac:dyDescent="0.2">
      <c r="B394" s="115" t="s">
        <v>166</v>
      </c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7"/>
    </row>
    <row r="395" spans="2:27" x14ac:dyDescent="0.2">
      <c r="B395" s="118" t="s">
        <v>159</v>
      </c>
      <c r="C395" s="9">
        <f>SUM(C396:C398)</f>
        <v>0</v>
      </c>
      <c r="D395" s="9">
        <f t="shared" ref="D395" si="276">SUM(D396:D398)</f>
        <v>0</v>
      </c>
      <c r="E395" s="9">
        <f t="shared" ref="E395" si="277">SUM(E396:E398)</f>
        <v>0</v>
      </c>
      <c r="F395" s="9">
        <f t="shared" ref="F395" si="278">SUM(F396:F398)</f>
        <v>0</v>
      </c>
      <c r="G395" s="9">
        <f t="shared" ref="G395" si="279">SUM(G396:G398)</f>
        <v>0</v>
      </c>
      <c r="H395" s="9">
        <f t="shared" ref="H395" si="280">SUM(H396:H398)</f>
        <v>0</v>
      </c>
      <c r="I395" s="9">
        <f t="shared" ref="I395" si="281">SUM(I396:I398)</f>
        <v>0</v>
      </c>
      <c r="J395" s="9">
        <f t="shared" ref="J395" si="282">SUM(J396:J398)</f>
        <v>0</v>
      </c>
      <c r="K395" s="9">
        <f t="shared" ref="K395" si="283">SUM(K396:K398)</f>
        <v>0</v>
      </c>
      <c r="L395" s="9">
        <f t="shared" ref="L395" si="284">SUM(L396:L398)</f>
        <v>0</v>
      </c>
      <c r="M395" s="9">
        <f t="shared" ref="M395" si="285">SUM(M396:M398)</f>
        <v>0</v>
      </c>
      <c r="N395" s="9">
        <f t="shared" ref="N395" si="286">SUM(N396:N398)</f>
        <v>0</v>
      </c>
      <c r="O395" s="9">
        <f t="shared" ref="O395" si="287">SUM(O396:O398)</f>
        <v>0</v>
      </c>
      <c r="P395" s="9">
        <f t="shared" ref="P395" si="288">SUM(P396:P398)</f>
        <v>0</v>
      </c>
      <c r="Q395" s="9">
        <f t="shared" ref="Q395" si="289">SUM(Q396:Q398)</f>
        <v>0</v>
      </c>
      <c r="R395" s="9">
        <f t="shared" ref="R395" si="290">SUM(R396:R398)</f>
        <v>0</v>
      </c>
      <c r="S395" s="9">
        <f t="shared" ref="S395" si="291">SUM(S396:S398)</f>
        <v>0</v>
      </c>
      <c r="T395" s="9">
        <f t="shared" ref="T395" si="292">SUM(T396:T398)</f>
        <v>0</v>
      </c>
      <c r="U395" s="9">
        <f t="shared" ref="U395" si="293">SUM(U396:U398)</f>
        <v>0</v>
      </c>
      <c r="V395" s="9">
        <f t="shared" ref="V395" si="294">SUM(V396:V398)</f>
        <v>0</v>
      </c>
      <c r="W395" s="9">
        <f t="shared" ref="W395" si="295">SUM(W396:W398)</f>
        <v>0</v>
      </c>
      <c r="X395" s="9">
        <f t="shared" ref="X395" si="296">SUM(X396:X398)</f>
        <v>0</v>
      </c>
      <c r="Y395" s="9">
        <f>SUM(Y396:Y398)</f>
        <v>0</v>
      </c>
      <c r="Z395" s="9">
        <f t="shared" ref="Z395" si="297">SUM(Z396:Z398)</f>
        <v>0</v>
      </c>
      <c r="AA395" s="67">
        <f>SUM(AA396:AA398)</f>
        <v>0</v>
      </c>
    </row>
    <row r="396" spans="2:27" x14ac:dyDescent="0.2">
      <c r="B396" s="115" t="s">
        <v>167</v>
      </c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7"/>
    </row>
    <row r="397" spans="2:27" x14ac:dyDescent="0.2">
      <c r="B397" s="115" t="s">
        <v>168</v>
      </c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7"/>
    </row>
    <row r="398" spans="2:27" x14ac:dyDescent="0.2">
      <c r="B398" s="115" t="s">
        <v>169</v>
      </c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7"/>
    </row>
    <row r="399" spans="2:27" x14ac:dyDescent="0.2">
      <c r="B399" s="68" t="s">
        <v>170</v>
      </c>
      <c r="C399" s="8">
        <f>C389-C395</f>
        <v>980820.45</v>
      </c>
      <c r="D399" s="8">
        <f t="shared" ref="D399:X399" si="298">D389-D395</f>
        <v>3259696.8</v>
      </c>
      <c r="E399" s="8">
        <f t="shared" si="298"/>
        <v>0</v>
      </c>
      <c r="F399" s="8">
        <f t="shared" si="298"/>
        <v>0</v>
      </c>
      <c r="G399" s="8">
        <f t="shared" si="298"/>
        <v>0</v>
      </c>
      <c r="H399" s="8">
        <f t="shared" si="298"/>
        <v>0</v>
      </c>
      <c r="I399" s="8">
        <f t="shared" si="298"/>
        <v>0</v>
      </c>
      <c r="J399" s="8">
        <f t="shared" si="298"/>
        <v>0</v>
      </c>
      <c r="K399" s="8">
        <f t="shared" si="298"/>
        <v>0</v>
      </c>
      <c r="L399" s="8">
        <f t="shared" si="298"/>
        <v>0</v>
      </c>
      <c r="M399" s="8">
        <f t="shared" si="298"/>
        <v>0</v>
      </c>
      <c r="N399" s="8">
        <f t="shared" si="298"/>
        <v>0</v>
      </c>
      <c r="O399" s="8">
        <f t="shared" si="298"/>
        <v>0</v>
      </c>
      <c r="P399" s="8">
        <f t="shared" si="298"/>
        <v>0</v>
      </c>
      <c r="Q399" s="8">
        <f t="shared" si="298"/>
        <v>0</v>
      </c>
      <c r="R399" s="8">
        <f t="shared" si="298"/>
        <v>0</v>
      </c>
      <c r="S399" s="8">
        <f t="shared" si="298"/>
        <v>0</v>
      </c>
      <c r="T399" s="8">
        <f t="shared" si="298"/>
        <v>0</v>
      </c>
      <c r="U399" s="8">
        <f t="shared" si="298"/>
        <v>0</v>
      </c>
      <c r="V399" s="8">
        <f t="shared" si="298"/>
        <v>0</v>
      </c>
      <c r="W399" s="8">
        <f t="shared" si="298"/>
        <v>0</v>
      </c>
      <c r="X399" s="8">
        <f t="shared" si="298"/>
        <v>0</v>
      </c>
      <c r="Y399" s="8">
        <f>Y389-Y395</f>
        <v>0</v>
      </c>
      <c r="Z399" s="8">
        <f t="shared" ref="Z399" si="299">Z389-Z395</f>
        <v>0</v>
      </c>
      <c r="AA399" s="65">
        <f>AA389-AA395</f>
        <v>0</v>
      </c>
    </row>
    <row r="400" spans="2:27" x14ac:dyDescent="0.2">
      <c r="B400" s="68" t="s">
        <v>171</v>
      </c>
      <c r="C400" s="8">
        <f>C383+C387+C399</f>
        <v>0</v>
      </c>
      <c r="D400" s="8">
        <f t="shared" ref="D400" si="300">D383+D387+D399</f>
        <v>0</v>
      </c>
      <c r="E400" s="8">
        <f t="shared" ref="E400" si="301">E383+E387+E399</f>
        <v>237426.59999999797</v>
      </c>
      <c r="F400" s="8">
        <f t="shared" ref="F400" si="302">F383+F387+F399</f>
        <v>237426.59999999797</v>
      </c>
      <c r="G400" s="8">
        <f t="shared" ref="G400" si="303">G383+G387+G399</f>
        <v>237426.59999999797</v>
      </c>
      <c r="H400" s="8">
        <f t="shared" ref="H400" si="304">H383+H387+H399</f>
        <v>237426.59999999937</v>
      </c>
      <c r="I400" s="8">
        <f t="shared" ref="I400" si="305">I383+I387+I399</f>
        <v>25400.73999999938</v>
      </c>
      <c r="J400" s="8">
        <f t="shared" ref="J400" si="306">J383+J387+J399</f>
        <v>202219.1800000013</v>
      </c>
      <c r="K400" s="8">
        <f t="shared" ref="K400" si="307">K383+K387+K399</f>
        <v>202219.1800000013</v>
      </c>
      <c r="L400" s="8">
        <f t="shared" ref="L400" si="308">L383+L387+L399</f>
        <v>202219.1800000013</v>
      </c>
      <c r="M400" s="8">
        <f t="shared" ref="M400" si="309">M383+M387+M399</f>
        <v>202219.18000000084</v>
      </c>
      <c r="N400" s="8">
        <f t="shared" ref="N400" si="310">N383+N387+N399</f>
        <v>-9806.679999999149</v>
      </c>
      <c r="O400" s="8">
        <f t="shared" ref="O400" si="311">O383+O387+O399</f>
        <v>202219.18000000084</v>
      </c>
      <c r="P400" s="8">
        <f t="shared" ref="P400" si="312">P383+P387+P399</f>
        <v>202219.18000000084</v>
      </c>
      <c r="Q400" s="8">
        <f t="shared" ref="Q400" si="313">Q383+Q387+Q399</f>
        <v>202219.18000000084</v>
      </c>
      <c r="R400" s="8">
        <f t="shared" ref="R400" si="314">R383+R387+R399</f>
        <v>202219.17999999851</v>
      </c>
      <c r="S400" s="8">
        <f t="shared" ref="S400" si="315">S383+S387+S399</f>
        <v>-9806.6800000014773</v>
      </c>
      <c r="T400" s="8">
        <f t="shared" ref="T400" si="316">T383+T387+T399</f>
        <v>202219.17999999851</v>
      </c>
      <c r="U400" s="8">
        <f t="shared" ref="U400" si="317">U383+U387+U399</f>
        <v>202219.17999999851</v>
      </c>
      <c r="V400" s="8">
        <f t="shared" ref="V400" si="318">V383+V387+V399</f>
        <v>202219.17999999851</v>
      </c>
      <c r="W400" s="8">
        <f t="shared" ref="W400" si="319">W383+W387+W399</f>
        <v>202219.17999999991</v>
      </c>
      <c r="X400" s="8">
        <f t="shared" ref="X400" si="320">X383+X387+X399</f>
        <v>-9806.6800000000803</v>
      </c>
      <c r="Y400" s="8">
        <f>Y383+Y387+Y399</f>
        <v>202219.17999999991</v>
      </c>
      <c r="Z400" s="8">
        <f t="shared" ref="Z400" si="321">Z383+Z387+Z399</f>
        <v>202219.17999999991</v>
      </c>
      <c r="AA400" s="119">
        <f>AA383+AA387+AA399</f>
        <v>202219.17999999964</v>
      </c>
    </row>
    <row r="401" spans="1:27" x14ac:dyDescent="0.2">
      <c r="B401" s="68" t="s">
        <v>172</v>
      </c>
      <c r="C401" s="8"/>
      <c r="D401" s="8">
        <f t="shared" ref="D401:N401" si="322">C402</f>
        <v>0</v>
      </c>
      <c r="E401" s="8">
        <f t="shared" si="322"/>
        <v>0</v>
      </c>
      <c r="F401" s="8">
        <f t="shared" si="322"/>
        <v>237426.59999999797</v>
      </c>
      <c r="G401" s="8">
        <f t="shared" si="322"/>
        <v>474853.19999999594</v>
      </c>
      <c r="H401" s="8">
        <f t="shared" si="322"/>
        <v>712279.79999999388</v>
      </c>
      <c r="I401" s="8">
        <f t="shared" si="322"/>
        <v>949706.39999999327</v>
      </c>
      <c r="J401" s="8">
        <f t="shared" si="322"/>
        <v>975107.13999999268</v>
      </c>
      <c r="K401" s="8">
        <f t="shared" si="322"/>
        <v>1177326.319999994</v>
      </c>
      <c r="L401" s="8">
        <f t="shared" si="322"/>
        <v>1379545.4999999953</v>
      </c>
      <c r="M401" s="8">
        <f t="shared" si="322"/>
        <v>1581764.6799999967</v>
      </c>
      <c r="N401" s="8">
        <f t="shared" si="322"/>
        <v>1783983.8599999975</v>
      </c>
      <c r="O401" s="8">
        <f t="shared" ref="O401:AA401" si="323">N402</f>
        <v>1774177.1799999983</v>
      </c>
      <c r="P401" s="8">
        <f t="shared" si="323"/>
        <v>1976396.3599999992</v>
      </c>
      <c r="Q401" s="8">
        <f t="shared" si="323"/>
        <v>2178615.54</v>
      </c>
      <c r="R401" s="8">
        <f t="shared" si="323"/>
        <v>2380834.7200000007</v>
      </c>
      <c r="S401" s="8">
        <f t="shared" si="323"/>
        <v>2583053.899999999</v>
      </c>
      <c r="T401" s="8">
        <f t="shared" si="323"/>
        <v>2573247.2199999974</v>
      </c>
      <c r="U401" s="8">
        <f t="shared" si="323"/>
        <v>2775466.3999999957</v>
      </c>
      <c r="V401" s="8">
        <f t="shared" si="323"/>
        <v>2977685.579999994</v>
      </c>
      <c r="W401" s="8">
        <f t="shared" si="323"/>
        <v>3179904.7599999923</v>
      </c>
      <c r="X401" s="8">
        <f t="shared" si="323"/>
        <v>3382123.939999992</v>
      </c>
      <c r="Y401" s="8">
        <f t="shared" si="323"/>
        <v>3372317.2599999919</v>
      </c>
      <c r="Z401" s="8">
        <f t="shared" si="323"/>
        <v>3574536.4399999916</v>
      </c>
      <c r="AA401" s="65">
        <f t="shared" si="323"/>
        <v>3776755.6199999913</v>
      </c>
    </row>
    <row r="402" spans="1:27" x14ac:dyDescent="0.2">
      <c r="B402" s="69" t="s">
        <v>173</v>
      </c>
      <c r="C402" s="70">
        <f>C401+C400</f>
        <v>0</v>
      </c>
      <c r="D402" s="70">
        <f t="shared" ref="D402" si="324">D401+D400</f>
        <v>0</v>
      </c>
      <c r="E402" s="70">
        <f t="shared" ref="E402" si="325">E401+E400</f>
        <v>237426.59999999797</v>
      </c>
      <c r="F402" s="70">
        <f t="shared" ref="F402" si="326">F401+F400</f>
        <v>474853.19999999594</v>
      </c>
      <c r="G402" s="70">
        <f t="shared" ref="G402" si="327">G401+G400</f>
        <v>712279.79999999388</v>
      </c>
      <c r="H402" s="70">
        <f t="shared" ref="H402" si="328">H401+H400</f>
        <v>949706.39999999327</v>
      </c>
      <c r="I402" s="70">
        <f t="shared" ref="I402" si="329">I401+I400</f>
        <v>975107.13999999268</v>
      </c>
      <c r="J402" s="70">
        <f t="shared" ref="J402" si="330">J401+J400</f>
        <v>1177326.319999994</v>
      </c>
      <c r="K402" s="70">
        <f t="shared" ref="K402" si="331">K401+K400</f>
        <v>1379545.4999999953</v>
      </c>
      <c r="L402" s="70">
        <f t="shared" ref="L402" si="332">L401+L400</f>
        <v>1581764.6799999967</v>
      </c>
      <c r="M402" s="70">
        <f t="shared" ref="M402" si="333">M401+M400</f>
        <v>1783983.8599999975</v>
      </c>
      <c r="N402" s="70">
        <f t="shared" ref="N402" si="334">N401+N400</f>
        <v>1774177.1799999983</v>
      </c>
      <c r="O402" s="70">
        <f t="shared" ref="O402" si="335">O401+O400</f>
        <v>1976396.3599999992</v>
      </c>
      <c r="P402" s="70">
        <f t="shared" ref="P402" si="336">P401+P400</f>
        <v>2178615.54</v>
      </c>
      <c r="Q402" s="70">
        <f t="shared" ref="Q402" si="337">Q401+Q400</f>
        <v>2380834.7200000007</v>
      </c>
      <c r="R402" s="70">
        <f t="shared" ref="R402" si="338">R401+R400</f>
        <v>2583053.899999999</v>
      </c>
      <c r="S402" s="70">
        <f t="shared" ref="S402" si="339">S401+S400</f>
        <v>2573247.2199999974</v>
      </c>
      <c r="T402" s="70">
        <f t="shared" ref="T402" si="340">T401+T400</f>
        <v>2775466.3999999957</v>
      </c>
      <c r="U402" s="70">
        <f t="shared" ref="U402" si="341">U401+U400</f>
        <v>2977685.579999994</v>
      </c>
      <c r="V402" s="70">
        <f t="shared" ref="V402" si="342">V401+V400</f>
        <v>3179904.7599999923</v>
      </c>
      <c r="W402" s="70">
        <f t="shared" ref="W402" si="343">W401+W400</f>
        <v>3382123.939999992</v>
      </c>
      <c r="X402" s="70">
        <f t="shared" ref="X402" si="344">X401+X400</f>
        <v>3372317.2599999919</v>
      </c>
      <c r="Y402" s="70">
        <f>Y401+Y400</f>
        <v>3574536.4399999916</v>
      </c>
      <c r="Z402" s="70">
        <f t="shared" ref="Z402" si="345">Z401+Z400</f>
        <v>3776755.6199999913</v>
      </c>
      <c r="AA402" s="71">
        <f>AA401+AA400</f>
        <v>3978974.799999991</v>
      </c>
    </row>
    <row r="406" spans="1:27" x14ac:dyDescent="0.2">
      <c r="A406" s="7" t="s">
        <v>231</v>
      </c>
      <c r="B406" s="7" t="s">
        <v>130</v>
      </c>
    </row>
    <row r="407" spans="1:27" x14ac:dyDescent="0.2">
      <c r="B407" s="120" t="s">
        <v>131</v>
      </c>
      <c r="C407" s="121">
        <f>ROUND(C408*C409,2)</f>
        <v>3033287.7</v>
      </c>
    </row>
    <row r="408" spans="1:27" x14ac:dyDescent="0.2">
      <c r="B408" s="42" t="s">
        <v>178</v>
      </c>
      <c r="C408" s="61">
        <f>IF(AA400&gt;0,AA400,0)</f>
        <v>202219.17999999964</v>
      </c>
    </row>
    <row r="409" spans="1:27" x14ac:dyDescent="0.2">
      <c r="B409" s="51" t="s">
        <v>132</v>
      </c>
      <c r="C409" s="74">
        <v>15</v>
      </c>
    </row>
    <row r="413" spans="1:27" x14ac:dyDescent="0.2">
      <c r="A413" s="7" t="s">
        <v>232</v>
      </c>
      <c r="B413" s="7" t="s">
        <v>179</v>
      </c>
    </row>
    <row r="414" spans="1:27" x14ac:dyDescent="0.2">
      <c r="B414" s="10" t="s">
        <v>180</v>
      </c>
      <c r="C414" s="11">
        <f>C$369</f>
        <v>2016</v>
      </c>
      <c r="D414" s="11">
        <f t="shared" ref="D414:AA414" si="346">D$369</f>
        <v>2017</v>
      </c>
      <c r="E414" s="11">
        <f t="shared" si="346"/>
        <v>2018</v>
      </c>
      <c r="F414" s="11">
        <f t="shared" si="346"/>
        <v>2019</v>
      </c>
      <c r="G414" s="11">
        <f t="shared" si="346"/>
        <v>2020</v>
      </c>
      <c r="H414" s="11">
        <f t="shared" si="346"/>
        <v>2021</v>
      </c>
      <c r="I414" s="11">
        <f t="shared" si="346"/>
        <v>2022</v>
      </c>
      <c r="J414" s="11">
        <f t="shared" si="346"/>
        <v>2023</v>
      </c>
      <c r="K414" s="11">
        <f t="shared" si="346"/>
        <v>2024</v>
      </c>
      <c r="L414" s="11">
        <f t="shared" si="346"/>
        <v>2025</v>
      </c>
      <c r="M414" s="11">
        <f t="shared" si="346"/>
        <v>2026</v>
      </c>
      <c r="N414" s="11">
        <f t="shared" si="346"/>
        <v>2027</v>
      </c>
      <c r="O414" s="11">
        <f t="shared" si="346"/>
        <v>2028</v>
      </c>
      <c r="P414" s="11">
        <f t="shared" si="346"/>
        <v>2029</v>
      </c>
      <c r="Q414" s="11">
        <f t="shared" si="346"/>
        <v>2030</v>
      </c>
      <c r="R414" s="11">
        <f t="shared" si="346"/>
        <v>2031</v>
      </c>
      <c r="S414" s="11">
        <f t="shared" si="346"/>
        <v>2032</v>
      </c>
      <c r="T414" s="11">
        <f t="shared" si="346"/>
        <v>2033</v>
      </c>
      <c r="U414" s="11">
        <f t="shared" si="346"/>
        <v>2034</v>
      </c>
      <c r="V414" s="11">
        <f t="shared" si="346"/>
        <v>2035</v>
      </c>
      <c r="W414" s="11">
        <f t="shared" si="346"/>
        <v>2036</v>
      </c>
      <c r="X414" s="11">
        <f t="shared" si="346"/>
        <v>2037</v>
      </c>
      <c r="Y414" s="11">
        <f t="shared" si="346"/>
        <v>2038</v>
      </c>
      <c r="Z414" s="11">
        <f t="shared" si="346"/>
        <v>2039</v>
      </c>
      <c r="AA414" s="12">
        <f t="shared" si="346"/>
        <v>2040</v>
      </c>
    </row>
    <row r="415" spans="1:27" x14ac:dyDescent="0.2">
      <c r="B415" s="45" t="s">
        <v>158</v>
      </c>
      <c r="C415" s="46">
        <f>C416+C417</f>
        <v>0</v>
      </c>
      <c r="D415" s="46">
        <f t="shared" ref="D415:AA415" si="347">D416+D417</f>
        <v>0</v>
      </c>
      <c r="E415" s="46">
        <f t="shared" si="347"/>
        <v>0</v>
      </c>
      <c r="F415" s="46">
        <f t="shared" si="347"/>
        <v>0</v>
      </c>
      <c r="G415" s="46">
        <f t="shared" si="347"/>
        <v>0</v>
      </c>
      <c r="H415" s="46">
        <f t="shared" si="347"/>
        <v>0</v>
      </c>
      <c r="I415" s="46">
        <f t="shared" si="347"/>
        <v>0</v>
      </c>
      <c r="J415" s="46">
        <f t="shared" si="347"/>
        <v>0</v>
      </c>
      <c r="K415" s="46">
        <f t="shared" si="347"/>
        <v>0</v>
      </c>
      <c r="L415" s="46">
        <f t="shared" si="347"/>
        <v>0</v>
      </c>
      <c r="M415" s="46">
        <f t="shared" si="347"/>
        <v>0</v>
      </c>
      <c r="N415" s="46">
        <f t="shared" si="347"/>
        <v>0</v>
      </c>
      <c r="O415" s="46">
        <f t="shared" si="347"/>
        <v>0</v>
      </c>
      <c r="P415" s="46">
        <f t="shared" si="347"/>
        <v>0</v>
      </c>
      <c r="Q415" s="46">
        <f t="shared" si="347"/>
        <v>0</v>
      </c>
      <c r="R415" s="46">
        <f t="shared" si="347"/>
        <v>0</v>
      </c>
      <c r="S415" s="46">
        <f t="shared" si="347"/>
        <v>0</v>
      </c>
      <c r="T415" s="46">
        <f t="shared" si="347"/>
        <v>0</v>
      </c>
      <c r="U415" s="46">
        <f t="shared" si="347"/>
        <v>0</v>
      </c>
      <c r="V415" s="46">
        <f t="shared" si="347"/>
        <v>0</v>
      </c>
      <c r="W415" s="46">
        <f t="shared" si="347"/>
        <v>0</v>
      </c>
      <c r="X415" s="46">
        <f t="shared" si="347"/>
        <v>0</v>
      </c>
      <c r="Y415" s="46">
        <f t="shared" si="347"/>
        <v>0</v>
      </c>
      <c r="Z415" s="46">
        <f t="shared" si="347"/>
        <v>0</v>
      </c>
      <c r="AA415" s="44">
        <f t="shared" si="347"/>
        <v>3033287.7</v>
      </c>
    </row>
    <row r="416" spans="1:27" x14ac:dyDescent="0.2">
      <c r="B416" s="54" t="s">
        <v>181</v>
      </c>
      <c r="C416" s="43">
        <f t="shared" ref="C416:AA416" si="348">C263</f>
        <v>0</v>
      </c>
      <c r="D416" s="43">
        <f t="shared" si="348"/>
        <v>0</v>
      </c>
      <c r="E416" s="43">
        <f t="shared" si="348"/>
        <v>0</v>
      </c>
      <c r="F416" s="43">
        <f t="shared" si="348"/>
        <v>0</v>
      </c>
      <c r="G416" s="43">
        <f t="shared" si="348"/>
        <v>0</v>
      </c>
      <c r="H416" s="43">
        <f t="shared" si="348"/>
        <v>0</v>
      </c>
      <c r="I416" s="43">
        <f t="shared" si="348"/>
        <v>0</v>
      </c>
      <c r="J416" s="43">
        <f t="shared" si="348"/>
        <v>0</v>
      </c>
      <c r="K416" s="43">
        <f t="shared" si="348"/>
        <v>0</v>
      </c>
      <c r="L416" s="43">
        <f t="shared" si="348"/>
        <v>0</v>
      </c>
      <c r="M416" s="43">
        <f t="shared" si="348"/>
        <v>0</v>
      </c>
      <c r="N416" s="43">
        <f t="shared" si="348"/>
        <v>0</v>
      </c>
      <c r="O416" s="43">
        <f t="shared" si="348"/>
        <v>0</v>
      </c>
      <c r="P416" s="43">
        <f t="shared" si="348"/>
        <v>0</v>
      </c>
      <c r="Q416" s="43">
        <f t="shared" si="348"/>
        <v>0</v>
      </c>
      <c r="R416" s="43">
        <f t="shared" si="348"/>
        <v>0</v>
      </c>
      <c r="S416" s="43">
        <f t="shared" si="348"/>
        <v>0</v>
      </c>
      <c r="T416" s="43">
        <f t="shared" si="348"/>
        <v>0</v>
      </c>
      <c r="U416" s="43">
        <f t="shared" si="348"/>
        <v>0</v>
      </c>
      <c r="V416" s="43">
        <f t="shared" si="348"/>
        <v>0</v>
      </c>
      <c r="W416" s="43">
        <f t="shared" si="348"/>
        <v>0</v>
      </c>
      <c r="X416" s="43">
        <f t="shared" si="348"/>
        <v>0</v>
      </c>
      <c r="Y416" s="43">
        <f t="shared" si="348"/>
        <v>0</v>
      </c>
      <c r="Z416" s="43">
        <f t="shared" si="348"/>
        <v>0</v>
      </c>
      <c r="AA416" s="61">
        <f t="shared" si="348"/>
        <v>0</v>
      </c>
    </row>
    <row r="417" spans="1:27" x14ac:dyDescent="0.2">
      <c r="B417" s="54" t="s">
        <v>182</v>
      </c>
      <c r="C417" s="43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61">
        <f>C407</f>
        <v>3033287.7</v>
      </c>
    </row>
    <row r="418" spans="1:27" x14ac:dyDescent="0.2">
      <c r="B418" s="42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8"/>
    </row>
    <row r="419" spans="1:27" x14ac:dyDescent="0.2">
      <c r="B419" s="45" t="s">
        <v>159</v>
      </c>
      <c r="C419" s="46">
        <f>C420+C421+C422</f>
        <v>980820.45</v>
      </c>
      <c r="D419" s="46">
        <f t="shared" ref="D419:AA419" si="349">D420+D421+D422</f>
        <v>3259696.8</v>
      </c>
      <c r="E419" s="46">
        <f t="shared" si="349"/>
        <v>-237426.599999998</v>
      </c>
      <c r="F419" s="46">
        <f t="shared" si="349"/>
        <v>-237426.599999998</v>
      </c>
      <c r="G419" s="46">
        <f t="shared" si="349"/>
        <v>-237426.599999998</v>
      </c>
      <c r="H419" s="46">
        <f t="shared" si="349"/>
        <v>-237426.59999999939</v>
      </c>
      <c r="I419" s="46">
        <f t="shared" si="349"/>
        <v>-25400.739999999409</v>
      </c>
      <c r="J419" s="46">
        <f t="shared" si="349"/>
        <v>-202219.18000000133</v>
      </c>
      <c r="K419" s="46">
        <f t="shared" si="349"/>
        <v>-202219.18000000133</v>
      </c>
      <c r="L419" s="46">
        <f t="shared" si="349"/>
        <v>-202219.18000000133</v>
      </c>
      <c r="M419" s="46">
        <f t="shared" si="349"/>
        <v>-202219.18000000087</v>
      </c>
      <c r="N419" s="46">
        <f t="shared" si="349"/>
        <v>9806.6799999991199</v>
      </c>
      <c r="O419" s="46">
        <f t="shared" si="349"/>
        <v>-202219.18000000087</v>
      </c>
      <c r="P419" s="46">
        <f t="shared" si="349"/>
        <v>-202219.18000000087</v>
      </c>
      <c r="Q419" s="46">
        <f t="shared" si="349"/>
        <v>-202219.18000000087</v>
      </c>
      <c r="R419" s="46">
        <f t="shared" si="349"/>
        <v>-202219.17999999854</v>
      </c>
      <c r="S419" s="46">
        <f t="shared" si="349"/>
        <v>9806.6800000014482</v>
      </c>
      <c r="T419" s="46">
        <f t="shared" si="349"/>
        <v>-202219.17999999854</v>
      </c>
      <c r="U419" s="46">
        <f t="shared" si="349"/>
        <v>-202219.17999999854</v>
      </c>
      <c r="V419" s="46">
        <f t="shared" si="349"/>
        <v>-202219.17999999854</v>
      </c>
      <c r="W419" s="46">
        <f t="shared" si="349"/>
        <v>-202219.17999999993</v>
      </c>
      <c r="X419" s="46">
        <f t="shared" si="349"/>
        <v>9806.6800000000512</v>
      </c>
      <c r="Y419" s="46">
        <f t="shared" si="349"/>
        <v>-202219.17999999993</v>
      </c>
      <c r="Z419" s="46">
        <f t="shared" si="349"/>
        <v>-202219.17999999993</v>
      </c>
      <c r="AA419" s="44">
        <f t="shared" si="349"/>
        <v>-202219.1799999997</v>
      </c>
    </row>
    <row r="420" spans="1:27" x14ac:dyDescent="0.2">
      <c r="B420" s="54" t="s">
        <v>183</v>
      </c>
      <c r="C420" s="141">
        <f>C161*'Analiza wrażliwości'!C6</f>
        <v>980820.45</v>
      </c>
      <c r="D420" s="141">
        <f>D161*'Analiza wrażliwości'!C6</f>
        <v>3259696.8</v>
      </c>
      <c r="E420" s="43">
        <f t="shared" ref="E420:AA420" si="350">E161</f>
        <v>0</v>
      </c>
      <c r="F420" s="43">
        <f t="shared" si="350"/>
        <v>0</v>
      </c>
      <c r="G420" s="43">
        <f t="shared" si="350"/>
        <v>0</v>
      </c>
      <c r="H420" s="43">
        <f t="shared" si="350"/>
        <v>0</v>
      </c>
      <c r="I420" s="43">
        <f t="shared" si="350"/>
        <v>0</v>
      </c>
      <c r="J420" s="43">
        <f t="shared" si="350"/>
        <v>0</v>
      </c>
      <c r="K420" s="43">
        <f t="shared" si="350"/>
        <v>0</v>
      </c>
      <c r="L420" s="43">
        <f t="shared" si="350"/>
        <v>0</v>
      </c>
      <c r="M420" s="43">
        <f t="shared" si="350"/>
        <v>0</v>
      </c>
      <c r="N420" s="43">
        <f t="shared" si="350"/>
        <v>0</v>
      </c>
      <c r="O420" s="43">
        <f t="shared" si="350"/>
        <v>0</v>
      </c>
      <c r="P420" s="43">
        <f t="shared" si="350"/>
        <v>0</v>
      </c>
      <c r="Q420" s="43">
        <f t="shared" si="350"/>
        <v>0</v>
      </c>
      <c r="R420" s="43">
        <f t="shared" si="350"/>
        <v>0</v>
      </c>
      <c r="S420" s="43">
        <f t="shared" si="350"/>
        <v>0</v>
      </c>
      <c r="T420" s="43">
        <f t="shared" si="350"/>
        <v>0</v>
      </c>
      <c r="U420" s="43">
        <f t="shared" si="350"/>
        <v>0</v>
      </c>
      <c r="V420" s="43">
        <f t="shared" si="350"/>
        <v>0</v>
      </c>
      <c r="W420" s="43">
        <f t="shared" si="350"/>
        <v>0</v>
      </c>
      <c r="X420" s="43">
        <f t="shared" si="350"/>
        <v>0</v>
      </c>
      <c r="Y420" s="43">
        <f t="shared" si="350"/>
        <v>0</v>
      </c>
      <c r="Z420" s="43">
        <f t="shared" si="350"/>
        <v>0</v>
      </c>
      <c r="AA420" s="61">
        <f t="shared" si="350"/>
        <v>0</v>
      </c>
    </row>
    <row r="421" spans="1:27" x14ac:dyDescent="0.2">
      <c r="B421" s="54" t="s">
        <v>184</v>
      </c>
      <c r="C421" s="43">
        <f t="shared" ref="C421:AA421" si="351">C264-C265</f>
        <v>0</v>
      </c>
      <c r="D421" s="43">
        <f t="shared" si="351"/>
        <v>-2.3283064365386963E-10</v>
      </c>
      <c r="E421" s="43">
        <f t="shared" si="351"/>
        <v>-237426.599999998</v>
      </c>
      <c r="F421" s="43">
        <f t="shared" si="351"/>
        <v>-237426.599999998</v>
      </c>
      <c r="G421" s="43">
        <f t="shared" si="351"/>
        <v>-237426.599999998</v>
      </c>
      <c r="H421" s="43">
        <f t="shared" si="351"/>
        <v>-237426.59999999939</v>
      </c>
      <c r="I421" s="43">
        <f t="shared" si="351"/>
        <v>-237426.59999999939</v>
      </c>
      <c r="J421" s="43">
        <f t="shared" si="351"/>
        <v>-202219.18000000133</v>
      </c>
      <c r="K421" s="43">
        <f t="shared" si="351"/>
        <v>-202219.18000000133</v>
      </c>
      <c r="L421" s="43">
        <f t="shared" si="351"/>
        <v>-202219.18000000133</v>
      </c>
      <c r="M421" s="43">
        <f t="shared" si="351"/>
        <v>-202219.18000000087</v>
      </c>
      <c r="N421" s="43">
        <f t="shared" si="351"/>
        <v>-202219.18000000087</v>
      </c>
      <c r="O421" s="43">
        <f t="shared" si="351"/>
        <v>-202219.18000000087</v>
      </c>
      <c r="P421" s="43">
        <f t="shared" si="351"/>
        <v>-202219.18000000087</v>
      </c>
      <c r="Q421" s="43">
        <f t="shared" si="351"/>
        <v>-202219.18000000087</v>
      </c>
      <c r="R421" s="43">
        <f t="shared" si="351"/>
        <v>-202219.17999999854</v>
      </c>
      <c r="S421" s="43">
        <f t="shared" si="351"/>
        <v>-202219.17999999854</v>
      </c>
      <c r="T421" s="43">
        <f t="shared" si="351"/>
        <v>-202219.17999999854</v>
      </c>
      <c r="U421" s="43">
        <f t="shared" si="351"/>
        <v>-202219.17999999854</v>
      </c>
      <c r="V421" s="43">
        <f t="shared" si="351"/>
        <v>-202219.17999999854</v>
      </c>
      <c r="W421" s="43">
        <f t="shared" si="351"/>
        <v>-202219.17999999993</v>
      </c>
      <c r="X421" s="43">
        <f t="shared" si="351"/>
        <v>-202219.17999999993</v>
      </c>
      <c r="Y421" s="43">
        <f t="shared" si="351"/>
        <v>-202219.17999999993</v>
      </c>
      <c r="Z421" s="43">
        <f t="shared" si="351"/>
        <v>-202219.17999999993</v>
      </c>
      <c r="AA421" s="61">
        <f t="shared" si="351"/>
        <v>-202219.1799999997</v>
      </c>
    </row>
    <row r="422" spans="1:27" x14ac:dyDescent="0.2">
      <c r="B422" s="54" t="s">
        <v>185</v>
      </c>
      <c r="C422" s="43">
        <f t="shared" ref="C422:AA422" si="352">C162</f>
        <v>0</v>
      </c>
      <c r="D422" s="43">
        <f t="shared" si="352"/>
        <v>0</v>
      </c>
      <c r="E422" s="43">
        <f t="shared" si="352"/>
        <v>0</v>
      </c>
      <c r="F422" s="43">
        <f t="shared" si="352"/>
        <v>0</v>
      </c>
      <c r="G422" s="43">
        <f t="shared" si="352"/>
        <v>0</v>
      </c>
      <c r="H422" s="43">
        <f t="shared" si="352"/>
        <v>0</v>
      </c>
      <c r="I422" s="43">
        <f t="shared" si="352"/>
        <v>212025.86</v>
      </c>
      <c r="J422" s="43">
        <f t="shared" si="352"/>
        <v>0</v>
      </c>
      <c r="K422" s="43">
        <f t="shared" si="352"/>
        <v>0</v>
      </c>
      <c r="L422" s="43">
        <f t="shared" si="352"/>
        <v>0</v>
      </c>
      <c r="M422" s="43">
        <f t="shared" si="352"/>
        <v>0</v>
      </c>
      <c r="N422" s="43">
        <f t="shared" si="352"/>
        <v>212025.86</v>
      </c>
      <c r="O422" s="43">
        <f t="shared" si="352"/>
        <v>0</v>
      </c>
      <c r="P422" s="43">
        <f t="shared" si="352"/>
        <v>0</v>
      </c>
      <c r="Q422" s="43">
        <f t="shared" si="352"/>
        <v>0</v>
      </c>
      <c r="R422" s="43">
        <f t="shared" si="352"/>
        <v>0</v>
      </c>
      <c r="S422" s="43">
        <f t="shared" si="352"/>
        <v>212025.86</v>
      </c>
      <c r="T422" s="43">
        <f t="shared" si="352"/>
        <v>0</v>
      </c>
      <c r="U422" s="43">
        <f t="shared" si="352"/>
        <v>0</v>
      </c>
      <c r="V422" s="43">
        <f t="shared" si="352"/>
        <v>0</v>
      </c>
      <c r="W422" s="43">
        <f t="shared" si="352"/>
        <v>0</v>
      </c>
      <c r="X422" s="43">
        <f t="shared" si="352"/>
        <v>212025.86</v>
      </c>
      <c r="Y422" s="43">
        <f t="shared" si="352"/>
        <v>0</v>
      </c>
      <c r="Z422" s="43">
        <f t="shared" si="352"/>
        <v>0</v>
      </c>
      <c r="AA422" s="61">
        <f t="shared" si="352"/>
        <v>0</v>
      </c>
    </row>
    <row r="423" spans="1:27" x14ac:dyDescent="0.2">
      <c r="B423" s="42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8"/>
    </row>
    <row r="424" spans="1:27" x14ac:dyDescent="0.2">
      <c r="B424" s="45" t="s">
        <v>186</v>
      </c>
      <c r="C424" s="46">
        <f>C415-C419</f>
        <v>-980820.45</v>
      </c>
      <c r="D424" s="46">
        <f t="shared" ref="D424:AA424" si="353">D415-D419</f>
        <v>-3259696.8</v>
      </c>
      <c r="E424" s="46">
        <f t="shared" si="353"/>
        <v>237426.599999998</v>
      </c>
      <c r="F424" s="46">
        <f t="shared" si="353"/>
        <v>237426.599999998</v>
      </c>
      <c r="G424" s="46">
        <f t="shared" si="353"/>
        <v>237426.599999998</v>
      </c>
      <c r="H424" s="46">
        <f t="shared" si="353"/>
        <v>237426.59999999939</v>
      </c>
      <c r="I424" s="46">
        <f t="shared" si="353"/>
        <v>25400.739999999409</v>
      </c>
      <c r="J424" s="46">
        <f t="shared" si="353"/>
        <v>202219.18000000133</v>
      </c>
      <c r="K424" s="46">
        <f t="shared" si="353"/>
        <v>202219.18000000133</v>
      </c>
      <c r="L424" s="46">
        <f t="shared" si="353"/>
        <v>202219.18000000133</v>
      </c>
      <c r="M424" s="46">
        <f t="shared" si="353"/>
        <v>202219.18000000087</v>
      </c>
      <c r="N424" s="46">
        <f t="shared" si="353"/>
        <v>-9806.6799999991199</v>
      </c>
      <c r="O424" s="46">
        <f t="shared" si="353"/>
        <v>202219.18000000087</v>
      </c>
      <c r="P424" s="46">
        <f t="shared" si="353"/>
        <v>202219.18000000087</v>
      </c>
      <c r="Q424" s="46">
        <f t="shared" si="353"/>
        <v>202219.18000000087</v>
      </c>
      <c r="R424" s="46">
        <f t="shared" si="353"/>
        <v>202219.17999999854</v>
      </c>
      <c r="S424" s="46">
        <f t="shared" si="353"/>
        <v>-9806.6800000014482</v>
      </c>
      <c r="T424" s="46">
        <f t="shared" si="353"/>
        <v>202219.17999999854</v>
      </c>
      <c r="U424" s="46">
        <f t="shared" si="353"/>
        <v>202219.17999999854</v>
      </c>
      <c r="V424" s="46">
        <f t="shared" si="353"/>
        <v>202219.17999999854</v>
      </c>
      <c r="W424" s="46">
        <f t="shared" si="353"/>
        <v>202219.17999999993</v>
      </c>
      <c r="X424" s="46">
        <f t="shared" si="353"/>
        <v>-9806.6800000000512</v>
      </c>
      <c r="Y424" s="46">
        <f t="shared" si="353"/>
        <v>202219.17999999993</v>
      </c>
      <c r="Z424" s="46">
        <f t="shared" si="353"/>
        <v>202219.17999999993</v>
      </c>
      <c r="AA424" s="44">
        <f t="shared" si="353"/>
        <v>3235506.88</v>
      </c>
    </row>
    <row r="425" spans="1:27" x14ac:dyDescent="0.2">
      <c r="B425" s="42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8"/>
    </row>
    <row r="426" spans="1:27" x14ac:dyDescent="0.2">
      <c r="B426" s="45" t="s">
        <v>187</v>
      </c>
      <c r="C426" s="46">
        <f>NPV(sd_af,D424:AA424)+C424</f>
        <v>-403839.42089503387</v>
      </c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8"/>
    </row>
    <row r="427" spans="1:27" x14ac:dyDescent="0.2">
      <c r="B427" s="95" t="s">
        <v>188</v>
      </c>
      <c r="C427" s="122">
        <f>ROUND(IRR(C424:AA424),4)</f>
        <v>3.2599999999999997E-2</v>
      </c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4"/>
    </row>
    <row r="431" spans="1:27" x14ac:dyDescent="0.2">
      <c r="A431" s="7" t="s">
        <v>233</v>
      </c>
      <c r="B431" s="7" t="s">
        <v>189</v>
      </c>
    </row>
    <row r="432" spans="1:27" x14ac:dyDescent="0.2">
      <c r="B432" s="10" t="s">
        <v>190</v>
      </c>
      <c r="C432" s="11">
        <f>C$369</f>
        <v>2016</v>
      </c>
      <c r="D432" s="11">
        <f t="shared" ref="D432:AA432" si="354">D$369</f>
        <v>2017</v>
      </c>
      <c r="E432" s="11">
        <f t="shared" si="354"/>
        <v>2018</v>
      </c>
      <c r="F432" s="11">
        <f t="shared" si="354"/>
        <v>2019</v>
      </c>
      <c r="G432" s="11">
        <f t="shared" si="354"/>
        <v>2020</v>
      </c>
      <c r="H432" s="11">
        <f t="shared" si="354"/>
        <v>2021</v>
      </c>
      <c r="I432" s="11">
        <f t="shared" si="354"/>
        <v>2022</v>
      </c>
      <c r="J432" s="11">
        <f t="shared" si="354"/>
        <v>2023</v>
      </c>
      <c r="K432" s="11">
        <f t="shared" si="354"/>
        <v>2024</v>
      </c>
      <c r="L432" s="11">
        <f t="shared" si="354"/>
        <v>2025</v>
      </c>
      <c r="M432" s="11">
        <f t="shared" si="354"/>
        <v>2026</v>
      </c>
      <c r="N432" s="11">
        <f t="shared" si="354"/>
        <v>2027</v>
      </c>
      <c r="O432" s="11">
        <f t="shared" si="354"/>
        <v>2028</v>
      </c>
      <c r="P432" s="11">
        <f t="shared" si="354"/>
        <v>2029</v>
      </c>
      <c r="Q432" s="11">
        <f t="shared" si="354"/>
        <v>2030</v>
      </c>
      <c r="R432" s="11">
        <f t="shared" si="354"/>
        <v>2031</v>
      </c>
      <c r="S432" s="11">
        <f t="shared" si="354"/>
        <v>2032</v>
      </c>
      <c r="T432" s="11">
        <f t="shared" si="354"/>
        <v>2033</v>
      </c>
      <c r="U432" s="11">
        <f t="shared" si="354"/>
        <v>2034</v>
      </c>
      <c r="V432" s="11">
        <f t="shared" si="354"/>
        <v>2035</v>
      </c>
      <c r="W432" s="11">
        <f t="shared" si="354"/>
        <v>2036</v>
      </c>
      <c r="X432" s="11">
        <f t="shared" si="354"/>
        <v>2037</v>
      </c>
      <c r="Y432" s="11">
        <f t="shared" si="354"/>
        <v>2038</v>
      </c>
      <c r="Z432" s="11">
        <f t="shared" si="354"/>
        <v>2039</v>
      </c>
      <c r="AA432" s="12">
        <f t="shared" si="354"/>
        <v>2040</v>
      </c>
    </row>
    <row r="433" spans="2:27" x14ac:dyDescent="0.2">
      <c r="B433" s="45" t="s">
        <v>158</v>
      </c>
      <c r="C433" s="46">
        <f>C434+C435</f>
        <v>0</v>
      </c>
      <c r="D433" s="46">
        <f t="shared" ref="D433" si="355">D434+D435</f>
        <v>0</v>
      </c>
      <c r="E433" s="46">
        <f t="shared" ref="E433" si="356">E434+E435</f>
        <v>0</v>
      </c>
      <c r="F433" s="46">
        <f t="shared" ref="F433" si="357">F434+F435</f>
        <v>0</v>
      </c>
      <c r="G433" s="46">
        <f t="shared" ref="G433" si="358">G434+G435</f>
        <v>0</v>
      </c>
      <c r="H433" s="46">
        <f t="shared" ref="H433" si="359">H434+H435</f>
        <v>0</v>
      </c>
      <c r="I433" s="46">
        <f t="shared" ref="I433" si="360">I434+I435</f>
        <v>0</v>
      </c>
      <c r="J433" s="46">
        <f t="shared" ref="J433" si="361">J434+J435</f>
        <v>0</v>
      </c>
      <c r="K433" s="46">
        <f t="shared" ref="K433" si="362">K434+K435</f>
        <v>0</v>
      </c>
      <c r="L433" s="46">
        <f t="shared" ref="L433" si="363">L434+L435</f>
        <v>0</v>
      </c>
      <c r="M433" s="46">
        <f t="shared" ref="M433" si="364">M434+M435</f>
        <v>0</v>
      </c>
      <c r="N433" s="46">
        <f t="shared" ref="N433" si="365">N434+N435</f>
        <v>0</v>
      </c>
      <c r="O433" s="46">
        <f t="shared" ref="O433" si="366">O434+O435</f>
        <v>0</v>
      </c>
      <c r="P433" s="46">
        <f t="shared" ref="P433" si="367">P434+P435</f>
        <v>0</v>
      </c>
      <c r="Q433" s="46">
        <f t="shared" ref="Q433" si="368">Q434+Q435</f>
        <v>0</v>
      </c>
      <c r="R433" s="46">
        <f t="shared" ref="R433" si="369">R434+R435</f>
        <v>0</v>
      </c>
      <c r="S433" s="46">
        <f t="shared" ref="S433" si="370">S434+S435</f>
        <v>0</v>
      </c>
      <c r="T433" s="46">
        <f t="shared" ref="T433" si="371">T434+T435</f>
        <v>0</v>
      </c>
      <c r="U433" s="46">
        <f t="shared" ref="U433" si="372">U434+U435</f>
        <v>0</v>
      </c>
      <c r="V433" s="46">
        <f t="shared" ref="V433" si="373">V434+V435</f>
        <v>0</v>
      </c>
      <c r="W433" s="46">
        <f t="shared" ref="W433" si="374">W434+W435</f>
        <v>0</v>
      </c>
      <c r="X433" s="46">
        <f t="shared" ref="X433" si="375">X434+X435</f>
        <v>0</v>
      </c>
      <c r="Y433" s="46">
        <f t="shared" ref="Y433" si="376">Y434+Y435</f>
        <v>0</v>
      </c>
      <c r="Z433" s="46">
        <f t="shared" ref="Z433" si="377">Z434+Z435</f>
        <v>0</v>
      </c>
      <c r="AA433" s="44">
        <f t="shared" ref="AA433" si="378">AA434+AA435</f>
        <v>3033287.7</v>
      </c>
    </row>
    <row r="434" spans="2:27" x14ac:dyDescent="0.2">
      <c r="B434" s="54" t="s">
        <v>181</v>
      </c>
      <c r="C434" s="43">
        <f>C416</f>
        <v>0</v>
      </c>
      <c r="D434" s="43">
        <f t="shared" ref="D434:AA434" si="379">D416</f>
        <v>0</v>
      </c>
      <c r="E434" s="43">
        <f t="shared" si="379"/>
        <v>0</v>
      </c>
      <c r="F434" s="43">
        <f t="shared" si="379"/>
        <v>0</v>
      </c>
      <c r="G434" s="43">
        <f t="shared" si="379"/>
        <v>0</v>
      </c>
      <c r="H434" s="43">
        <f t="shared" si="379"/>
        <v>0</v>
      </c>
      <c r="I434" s="43">
        <f t="shared" si="379"/>
        <v>0</v>
      </c>
      <c r="J434" s="43">
        <f t="shared" si="379"/>
        <v>0</v>
      </c>
      <c r="K434" s="43">
        <f t="shared" si="379"/>
        <v>0</v>
      </c>
      <c r="L434" s="43">
        <f t="shared" si="379"/>
        <v>0</v>
      </c>
      <c r="M434" s="43">
        <f t="shared" si="379"/>
        <v>0</v>
      </c>
      <c r="N434" s="43">
        <f t="shared" si="379"/>
        <v>0</v>
      </c>
      <c r="O434" s="43">
        <f t="shared" si="379"/>
        <v>0</v>
      </c>
      <c r="P434" s="43">
        <f t="shared" si="379"/>
        <v>0</v>
      </c>
      <c r="Q434" s="43">
        <f t="shared" si="379"/>
        <v>0</v>
      </c>
      <c r="R434" s="43">
        <f t="shared" si="379"/>
        <v>0</v>
      </c>
      <c r="S434" s="43">
        <f t="shared" si="379"/>
        <v>0</v>
      </c>
      <c r="T434" s="43">
        <f t="shared" si="379"/>
        <v>0</v>
      </c>
      <c r="U434" s="43">
        <f t="shared" si="379"/>
        <v>0</v>
      </c>
      <c r="V434" s="43">
        <f t="shared" si="379"/>
        <v>0</v>
      </c>
      <c r="W434" s="43">
        <f t="shared" si="379"/>
        <v>0</v>
      </c>
      <c r="X434" s="43">
        <f t="shared" si="379"/>
        <v>0</v>
      </c>
      <c r="Y434" s="43">
        <f t="shared" si="379"/>
        <v>0</v>
      </c>
      <c r="Z434" s="43">
        <f t="shared" si="379"/>
        <v>0</v>
      </c>
      <c r="AA434" s="61">
        <f t="shared" si="379"/>
        <v>0</v>
      </c>
    </row>
    <row r="435" spans="2:27" x14ac:dyDescent="0.2">
      <c r="B435" s="54" t="s">
        <v>182</v>
      </c>
      <c r="C435" s="43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61">
        <f t="shared" ref="AA435" si="380">AA417</f>
        <v>3033287.7</v>
      </c>
    </row>
    <row r="436" spans="2:27" x14ac:dyDescent="0.2">
      <c r="B436" s="42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8"/>
    </row>
    <row r="437" spans="2:27" x14ac:dyDescent="0.2">
      <c r="B437" s="45" t="s">
        <v>159</v>
      </c>
      <c r="C437" s="46">
        <f>SUM(C438:C442)</f>
        <v>474607.2</v>
      </c>
      <c r="D437" s="46">
        <f t="shared" ref="D437:AA437" si="381">SUM(D438:D442)</f>
        <v>1441168.5499999998</v>
      </c>
      <c r="E437" s="46">
        <f t="shared" si="381"/>
        <v>-237426.599999998</v>
      </c>
      <c r="F437" s="46">
        <f t="shared" si="381"/>
        <v>-237426.599999998</v>
      </c>
      <c r="G437" s="46">
        <f t="shared" si="381"/>
        <v>-237426.599999998</v>
      </c>
      <c r="H437" s="46">
        <f t="shared" si="381"/>
        <v>-237426.59999999939</v>
      </c>
      <c r="I437" s="46">
        <f t="shared" si="381"/>
        <v>-25400.739999999409</v>
      </c>
      <c r="J437" s="46">
        <f t="shared" si="381"/>
        <v>-202219.18000000133</v>
      </c>
      <c r="K437" s="46">
        <f t="shared" si="381"/>
        <v>-202219.18000000133</v>
      </c>
      <c r="L437" s="46">
        <f t="shared" si="381"/>
        <v>-202219.18000000133</v>
      </c>
      <c r="M437" s="46">
        <f t="shared" si="381"/>
        <v>-202219.18000000087</v>
      </c>
      <c r="N437" s="46">
        <f t="shared" si="381"/>
        <v>9806.6799999991199</v>
      </c>
      <c r="O437" s="46">
        <f t="shared" si="381"/>
        <v>-202219.18000000087</v>
      </c>
      <c r="P437" s="46">
        <f t="shared" si="381"/>
        <v>-202219.18000000087</v>
      </c>
      <c r="Q437" s="46">
        <f t="shared" si="381"/>
        <v>-202219.18000000087</v>
      </c>
      <c r="R437" s="46">
        <f t="shared" si="381"/>
        <v>-202219.17999999854</v>
      </c>
      <c r="S437" s="46">
        <f t="shared" si="381"/>
        <v>9806.6800000014482</v>
      </c>
      <c r="T437" s="46">
        <f t="shared" si="381"/>
        <v>-202219.17999999854</v>
      </c>
      <c r="U437" s="46">
        <f t="shared" si="381"/>
        <v>-202219.17999999854</v>
      </c>
      <c r="V437" s="46">
        <f t="shared" si="381"/>
        <v>-202219.17999999854</v>
      </c>
      <c r="W437" s="46">
        <f t="shared" si="381"/>
        <v>-202219.17999999993</v>
      </c>
      <c r="X437" s="46">
        <f t="shared" si="381"/>
        <v>9806.6800000000512</v>
      </c>
      <c r="Y437" s="46">
        <f t="shared" si="381"/>
        <v>-202219.17999999993</v>
      </c>
      <c r="Z437" s="46">
        <f t="shared" si="381"/>
        <v>-202219.17999999993</v>
      </c>
      <c r="AA437" s="44">
        <f t="shared" si="381"/>
        <v>-202219.1799999997</v>
      </c>
    </row>
    <row r="438" spans="2:27" x14ac:dyDescent="0.2">
      <c r="B438" s="54" t="s">
        <v>184</v>
      </c>
      <c r="C438" s="43">
        <f>C421</f>
        <v>0</v>
      </c>
      <c r="D438" s="43">
        <f t="shared" ref="D438:AA438" si="382">D421</f>
        <v>-2.3283064365386963E-10</v>
      </c>
      <c r="E438" s="43">
        <f t="shared" si="382"/>
        <v>-237426.599999998</v>
      </c>
      <c r="F438" s="43">
        <f t="shared" si="382"/>
        <v>-237426.599999998</v>
      </c>
      <c r="G438" s="43">
        <f t="shared" si="382"/>
        <v>-237426.599999998</v>
      </c>
      <c r="H438" s="43">
        <f t="shared" si="382"/>
        <v>-237426.59999999939</v>
      </c>
      <c r="I438" s="43">
        <f t="shared" si="382"/>
        <v>-237426.59999999939</v>
      </c>
      <c r="J438" s="43">
        <f t="shared" si="382"/>
        <v>-202219.18000000133</v>
      </c>
      <c r="K438" s="43">
        <f t="shared" si="382"/>
        <v>-202219.18000000133</v>
      </c>
      <c r="L438" s="43">
        <f t="shared" si="382"/>
        <v>-202219.18000000133</v>
      </c>
      <c r="M438" s="43">
        <f t="shared" si="382"/>
        <v>-202219.18000000087</v>
      </c>
      <c r="N438" s="43">
        <f t="shared" si="382"/>
        <v>-202219.18000000087</v>
      </c>
      <c r="O438" s="43">
        <f t="shared" si="382"/>
        <v>-202219.18000000087</v>
      </c>
      <c r="P438" s="43">
        <f t="shared" si="382"/>
        <v>-202219.18000000087</v>
      </c>
      <c r="Q438" s="43">
        <f t="shared" si="382"/>
        <v>-202219.18000000087</v>
      </c>
      <c r="R438" s="43">
        <f t="shared" si="382"/>
        <v>-202219.17999999854</v>
      </c>
      <c r="S438" s="43">
        <f t="shared" si="382"/>
        <v>-202219.17999999854</v>
      </c>
      <c r="T438" s="43">
        <f t="shared" si="382"/>
        <v>-202219.17999999854</v>
      </c>
      <c r="U438" s="43">
        <f t="shared" si="382"/>
        <v>-202219.17999999854</v>
      </c>
      <c r="V438" s="43">
        <f t="shared" si="382"/>
        <v>-202219.17999999854</v>
      </c>
      <c r="W438" s="43">
        <f t="shared" si="382"/>
        <v>-202219.17999999993</v>
      </c>
      <c r="X438" s="43">
        <f t="shared" si="382"/>
        <v>-202219.17999999993</v>
      </c>
      <c r="Y438" s="43">
        <f t="shared" si="382"/>
        <v>-202219.17999999993</v>
      </c>
      <c r="Z438" s="43">
        <f t="shared" si="382"/>
        <v>-202219.17999999993</v>
      </c>
      <c r="AA438" s="61">
        <f t="shared" si="382"/>
        <v>-202219.1799999997</v>
      </c>
    </row>
    <row r="439" spans="2:27" x14ac:dyDescent="0.2">
      <c r="B439" s="54" t="s">
        <v>185</v>
      </c>
      <c r="C439" s="43">
        <f>C422</f>
        <v>0</v>
      </c>
      <c r="D439" s="43">
        <f t="shared" ref="D439:AA439" si="383">D422</f>
        <v>0</v>
      </c>
      <c r="E439" s="43">
        <f t="shared" si="383"/>
        <v>0</v>
      </c>
      <c r="F439" s="43">
        <f t="shared" si="383"/>
        <v>0</v>
      </c>
      <c r="G439" s="43">
        <f t="shared" si="383"/>
        <v>0</v>
      </c>
      <c r="H439" s="43">
        <f t="shared" si="383"/>
        <v>0</v>
      </c>
      <c r="I439" s="43">
        <f t="shared" si="383"/>
        <v>212025.86</v>
      </c>
      <c r="J439" s="43">
        <f t="shared" si="383"/>
        <v>0</v>
      </c>
      <c r="K439" s="43">
        <f t="shared" si="383"/>
        <v>0</v>
      </c>
      <c r="L439" s="43">
        <f t="shared" si="383"/>
        <v>0</v>
      </c>
      <c r="M439" s="43">
        <f t="shared" si="383"/>
        <v>0</v>
      </c>
      <c r="N439" s="43">
        <f t="shared" si="383"/>
        <v>212025.86</v>
      </c>
      <c r="O439" s="43">
        <f t="shared" si="383"/>
        <v>0</v>
      </c>
      <c r="P439" s="43">
        <f t="shared" si="383"/>
        <v>0</v>
      </c>
      <c r="Q439" s="43">
        <f t="shared" si="383"/>
        <v>0</v>
      </c>
      <c r="R439" s="43">
        <f t="shared" si="383"/>
        <v>0</v>
      </c>
      <c r="S439" s="43">
        <f t="shared" si="383"/>
        <v>212025.86</v>
      </c>
      <c r="T439" s="43">
        <f t="shared" si="383"/>
        <v>0</v>
      </c>
      <c r="U439" s="43">
        <f t="shared" si="383"/>
        <v>0</v>
      </c>
      <c r="V439" s="43">
        <f t="shared" si="383"/>
        <v>0</v>
      </c>
      <c r="W439" s="43">
        <f t="shared" si="383"/>
        <v>0</v>
      </c>
      <c r="X439" s="43">
        <f t="shared" si="383"/>
        <v>212025.86</v>
      </c>
      <c r="Y439" s="43">
        <f t="shared" si="383"/>
        <v>0</v>
      </c>
      <c r="Z439" s="43">
        <f t="shared" si="383"/>
        <v>0</v>
      </c>
      <c r="AA439" s="61">
        <f t="shared" si="383"/>
        <v>0</v>
      </c>
    </row>
    <row r="440" spans="2:27" x14ac:dyDescent="0.2">
      <c r="B440" s="54" t="s">
        <v>193</v>
      </c>
      <c r="C440" s="43">
        <f t="shared" ref="C440:AA440" si="384">C352</f>
        <v>474607.2</v>
      </c>
      <c r="D440" s="43">
        <f t="shared" si="384"/>
        <v>1441168.55</v>
      </c>
      <c r="E440" s="43">
        <f t="shared" si="384"/>
        <v>0</v>
      </c>
      <c r="F440" s="43">
        <f t="shared" si="384"/>
        <v>0</v>
      </c>
      <c r="G440" s="43">
        <f t="shared" si="384"/>
        <v>0</v>
      </c>
      <c r="H440" s="43">
        <f t="shared" si="384"/>
        <v>0</v>
      </c>
      <c r="I440" s="43">
        <f t="shared" si="384"/>
        <v>0</v>
      </c>
      <c r="J440" s="43">
        <f t="shared" si="384"/>
        <v>0</v>
      </c>
      <c r="K440" s="43">
        <f t="shared" si="384"/>
        <v>0</v>
      </c>
      <c r="L440" s="43">
        <f t="shared" si="384"/>
        <v>0</v>
      </c>
      <c r="M440" s="43">
        <f t="shared" si="384"/>
        <v>0</v>
      </c>
      <c r="N440" s="43">
        <f t="shared" si="384"/>
        <v>0</v>
      </c>
      <c r="O440" s="43">
        <f t="shared" si="384"/>
        <v>0</v>
      </c>
      <c r="P440" s="43">
        <f t="shared" si="384"/>
        <v>0</v>
      </c>
      <c r="Q440" s="43">
        <f t="shared" si="384"/>
        <v>0</v>
      </c>
      <c r="R440" s="43">
        <f t="shared" si="384"/>
        <v>0</v>
      </c>
      <c r="S440" s="43">
        <f t="shared" si="384"/>
        <v>0</v>
      </c>
      <c r="T440" s="43">
        <f t="shared" si="384"/>
        <v>0</v>
      </c>
      <c r="U440" s="43">
        <f t="shared" si="384"/>
        <v>0</v>
      </c>
      <c r="V440" s="43">
        <f t="shared" si="384"/>
        <v>0</v>
      </c>
      <c r="W440" s="43">
        <f t="shared" si="384"/>
        <v>0</v>
      </c>
      <c r="X440" s="43">
        <f t="shared" si="384"/>
        <v>0</v>
      </c>
      <c r="Y440" s="43">
        <f t="shared" si="384"/>
        <v>0</v>
      </c>
      <c r="Z440" s="43">
        <f t="shared" si="384"/>
        <v>0</v>
      </c>
      <c r="AA440" s="61">
        <f t="shared" si="384"/>
        <v>0</v>
      </c>
    </row>
    <row r="441" spans="2:27" x14ac:dyDescent="0.2">
      <c r="B441" s="54" t="s">
        <v>191</v>
      </c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61"/>
    </row>
    <row r="442" spans="2:27" x14ac:dyDescent="0.2">
      <c r="B442" s="54" t="s">
        <v>192</v>
      </c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61"/>
    </row>
    <row r="443" spans="2:27" x14ac:dyDescent="0.2">
      <c r="B443" s="42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8"/>
    </row>
    <row r="444" spans="2:27" x14ac:dyDescent="0.2">
      <c r="B444" s="45" t="s">
        <v>186</v>
      </c>
      <c r="C444" s="46">
        <f>C433-C437</f>
        <v>-474607.2</v>
      </c>
      <c r="D444" s="46">
        <f t="shared" ref="D444:AA444" si="385">D433-D437</f>
        <v>-1441168.5499999998</v>
      </c>
      <c r="E444" s="46">
        <f t="shared" si="385"/>
        <v>237426.599999998</v>
      </c>
      <c r="F444" s="46">
        <f t="shared" si="385"/>
        <v>237426.599999998</v>
      </c>
      <c r="G444" s="46">
        <f t="shared" si="385"/>
        <v>237426.599999998</v>
      </c>
      <c r="H444" s="46">
        <f t="shared" si="385"/>
        <v>237426.59999999939</v>
      </c>
      <c r="I444" s="46">
        <f t="shared" si="385"/>
        <v>25400.739999999409</v>
      </c>
      <c r="J444" s="46">
        <f t="shared" si="385"/>
        <v>202219.18000000133</v>
      </c>
      <c r="K444" s="46">
        <f t="shared" si="385"/>
        <v>202219.18000000133</v>
      </c>
      <c r="L444" s="46">
        <f t="shared" si="385"/>
        <v>202219.18000000133</v>
      </c>
      <c r="M444" s="46">
        <f t="shared" si="385"/>
        <v>202219.18000000087</v>
      </c>
      <c r="N444" s="46">
        <f t="shared" si="385"/>
        <v>-9806.6799999991199</v>
      </c>
      <c r="O444" s="46">
        <f t="shared" si="385"/>
        <v>202219.18000000087</v>
      </c>
      <c r="P444" s="46">
        <f t="shared" si="385"/>
        <v>202219.18000000087</v>
      </c>
      <c r="Q444" s="46">
        <f t="shared" si="385"/>
        <v>202219.18000000087</v>
      </c>
      <c r="R444" s="46">
        <f t="shared" si="385"/>
        <v>202219.17999999854</v>
      </c>
      <c r="S444" s="46">
        <f t="shared" si="385"/>
        <v>-9806.6800000014482</v>
      </c>
      <c r="T444" s="46">
        <f t="shared" si="385"/>
        <v>202219.17999999854</v>
      </c>
      <c r="U444" s="46">
        <f t="shared" si="385"/>
        <v>202219.17999999854</v>
      </c>
      <c r="V444" s="46">
        <f t="shared" si="385"/>
        <v>202219.17999999854</v>
      </c>
      <c r="W444" s="46">
        <f t="shared" si="385"/>
        <v>202219.17999999993</v>
      </c>
      <c r="X444" s="46">
        <f t="shared" si="385"/>
        <v>-9806.6800000000512</v>
      </c>
      <c r="Y444" s="46">
        <f t="shared" si="385"/>
        <v>202219.17999999993</v>
      </c>
      <c r="Z444" s="46">
        <f t="shared" si="385"/>
        <v>202219.17999999993</v>
      </c>
      <c r="AA444" s="44">
        <f t="shared" si="385"/>
        <v>3235506.88</v>
      </c>
    </row>
    <row r="445" spans="2:27" x14ac:dyDescent="0.2">
      <c r="B445" s="42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8"/>
    </row>
    <row r="446" spans="2:27" x14ac:dyDescent="0.2">
      <c r="B446" s="45" t="s">
        <v>187</v>
      </c>
      <c r="C446" s="46">
        <f>NPV(sd_af,D444:AA444)+C444</f>
        <v>1850958.6848741968</v>
      </c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8"/>
    </row>
    <row r="447" spans="2:27" x14ac:dyDescent="0.2">
      <c r="B447" s="95" t="s">
        <v>188</v>
      </c>
      <c r="C447" s="122">
        <f>ROUND(IRR(C444:AA444),4)</f>
        <v>0.10050000000000001</v>
      </c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4"/>
    </row>
    <row r="451" spans="1:27" x14ac:dyDescent="0.2">
      <c r="A451" s="7" t="s">
        <v>234</v>
      </c>
      <c r="B451" s="7" t="s">
        <v>194</v>
      </c>
    </row>
    <row r="452" spans="1:27" x14ac:dyDescent="0.2">
      <c r="B452" s="10" t="s">
        <v>195</v>
      </c>
      <c r="C452" s="11">
        <f>C$369</f>
        <v>2016</v>
      </c>
      <c r="D452" s="11">
        <f t="shared" ref="D452:AA452" si="386">D$369</f>
        <v>2017</v>
      </c>
      <c r="E452" s="11">
        <f t="shared" si="386"/>
        <v>2018</v>
      </c>
      <c r="F452" s="11">
        <f t="shared" si="386"/>
        <v>2019</v>
      </c>
      <c r="G452" s="11">
        <f t="shared" si="386"/>
        <v>2020</v>
      </c>
      <c r="H452" s="11">
        <f t="shared" si="386"/>
        <v>2021</v>
      </c>
      <c r="I452" s="11">
        <f t="shared" si="386"/>
        <v>2022</v>
      </c>
      <c r="J452" s="11">
        <f t="shared" si="386"/>
        <v>2023</v>
      </c>
      <c r="K452" s="11">
        <f t="shared" si="386"/>
        <v>2024</v>
      </c>
      <c r="L452" s="11">
        <f t="shared" si="386"/>
        <v>2025</v>
      </c>
      <c r="M452" s="11">
        <f t="shared" si="386"/>
        <v>2026</v>
      </c>
      <c r="N452" s="11">
        <f t="shared" si="386"/>
        <v>2027</v>
      </c>
      <c r="O452" s="11">
        <f t="shared" si="386"/>
        <v>2028</v>
      </c>
      <c r="P452" s="11">
        <f t="shared" si="386"/>
        <v>2029</v>
      </c>
      <c r="Q452" s="11">
        <f t="shared" si="386"/>
        <v>2030</v>
      </c>
      <c r="R452" s="11">
        <f t="shared" si="386"/>
        <v>2031</v>
      </c>
      <c r="S452" s="11">
        <f t="shared" si="386"/>
        <v>2032</v>
      </c>
      <c r="T452" s="11">
        <f t="shared" si="386"/>
        <v>2033</v>
      </c>
      <c r="U452" s="11">
        <f t="shared" si="386"/>
        <v>2034</v>
      </c>
      <c r="V452" s="11">
        <f t="shared" si="386"/>
        <v>2035</v>
      </c>
      <c r="W452" s="11">
        <f t="shared" si="386"/>
        <v>2036</v>
      </c>
      <c r="X452" s="11">
        <f t="shared" si="386"/>
        <v>2037</v>
      </c>
      <c r="Y452" s="11">
        <f t="shared" si="386"/>
        <v>2038</v>
      </c>
      <c r="Z452" s="11">
        <f t="shared" si="386"/>
        <v>2039</v>
      </c>
      <c r="AA452" s="12">
        <f t="shared" si="386"/>
        <v>2040</v>
      </c>
    </row>
    <row r="453" spans="1:27" x14ac:dyDescent="0.2">
      <c r="B453" s="42" t="s">
        <v>0</v>
      </c>
      <c r="C453" s="43">
        <f>C420</f>
        <v>980820.45</v>
      </c>
      <c r="D453" s="43">
        <f t="shared" ref="D453:AA453" si="387">D420</f>
        <v>3259696.8</v>
      </c>
      <c r="E453" s="43">
        <f t="shared" si="387"/>
        <v>0</v>
      </c>
      <c r="F453" s="43">
        <f t="shared" si="387"/>
        <v>0</v>
      </c>
      <c r="G453" s="43">
        <f t="shared" si="387"/>
        <v>0</v>
      </c>
      <c r="H453" s="43">
        <f t="shared" si="387"/>
        <v>0</v>
      </c>
      <c r="I453" s="43">
        <f t="shared" si="387"/>
        <v>0</v>
      </c>
      <c r="J453" s="43">
        <f t="shared" si="387"/>
        <v>0</v>
      </c>
      <c r="K453" s="43">
        <f t="shared" si="387"/>
        <v>0</v>
      </c>
      <c r="L453" s="43">
        <f t="shared" si="387"/>
        <v>0</v>
      </c>
      <c r="M453" s="43">
        <f t="shared" si="387"/>
        <v>0</v>
      </c>
      <c r="N453" s="43">
        <f t="shared" si="387"/>
        <v>0</v>
      </c>
      <c r="O453" s="43">
        <f t="shared" si="387"/>
        <v>0</v>
      </c>
      <c r="P453" s="43">
        <f t="shared" si="387"/>
        <v>0</v>
      </c>
      <c r="Q453" s="43">
        <f t="shared" si="387"/>
        <v>0</v>
      </c>
      <c r="R453" s="43">
        <f t="shared" si="387"/>
        <v>0</v>
      </c>
      <c r="S453" s="43">
        <f t="shared" si="387"/>
        <v>0</v>
      </c>
      <c r="T453" s="43">
        <f t="shared" si="387"/>
        <v>0</v>
      </c>
      <c r="U453" s="43">
        <f t="shared" si="387"/>
        <v>0</v>
      </c>
      <c r="V453" s="43">
        <f t="shared" si="387"/>
        <v>0</v>
      </c>
      <c r="W453" s="43">
        <f t="shared" si="387"/>
        <v>0</v>
      </c>
      <c r="X453" s="43">
        <f t="shared" si="387"/>
        <v>0</v>
      </c>
      <c r="Y453" s="43">
        <f t="shared" si="387"/>
        <v>0</v>
      </c>
      <c r="Z453" s="43">
        <f t="shared" si="387"/>
        <v>0</v>
      </c>
      <c r="AA453" s="61">
        <f t="shared" si="387"/>
        <v>0</v>
      </c>
    </row>
    <row r="454" spans="1:27" x14ac:dyDescent="0.2">
      <c r="B454" s="42" t="s">
        <v>196</v>
      </c>
      <c r="C454" s="43">
        <f>C416</f>
        <v>0</v>
      </c>
      <c r="D454" s="43">
        <f t="shared" ref="D454:AA454" si="388">D416</f>
        <v>0</v>
      </c>
      <c r="E454" s="43">
        <f t="shared" si="388"/>
        <v>0</v>
      </c>
      <c r="F454" s="43">
        <f t="shared" si="388"/>
        <v>0</v>
      </c>
      <c r="G454" s="43">
        <f t="shared" si="388"/>
        <v>0</v>
      </c>
      <c r="H454" s="43">
        <f t="shared" si="388"/>
        <v>0</v>
      </c>
      <c r="I454" s="43">
        <f t="shared" si="388"/>
        <v>0</v>
      </c>
      <c r="J454" s="43">
        <f t="shared" si="388"/>
        <v>0</v>
      </c>
      <c r="K454" s="43">
        <f t="shared" si="388"/>
        <v>0</v>
      </c>
      <c r="L454" s="43">
        <f t="shared" si="388"/>
        <v>0</v>
      </c>
      <c r="M454" s="43">
        <f t="shared" si="388"/>
        <v>0</v>
      </c>
      <c r="N454" s="43">
        <f t="shared" si="388"/>
        <v>0</v>
      </c>
      <c r="O454" s="43">
        <f t="shared" si="388"/>
        <v>0</v>
      </c>
      <c r="P454" s="43">
        <f t="shared" si="388"/>
        <v>0</v>
      </c>
      <c r="Q454" s="43">
        <f t="shared" si="388"/>
        <v>0</v>
      </c>
      <c r="R454" s="43">
        <f t="shared" si="388"/>
        <v>0</v>
      </c>
      <c r="S454" s="43">
        <f t="shared" si="388"/>
        <v>0</v>
      </c>
      <c r="T454" s="43">
        <f t="shared" si="388"/>
        <v>0</v>
      </c>
      <c r="U454" s="43">
        <f t="shared" si="388"/>
        <v>0</v>
      </c>
      <c r="V454" s="43">
        <f t="shared" si="388"/>
        <v>0</v>
      </c>
      <c r="W454" s="43">
        <f t="shared" si="388"/>
        <v>0</v>
      </c>
      <c r="X454" s="43">
        <f t="shared" si="388"/>
        <v>0</v>
      </c>
      <c r="Y454" s="43">
        <f t="shared" si="388"/>
        <v>0</v>
      </c>
      <c r="Z454" s="43">
        <f t="shared" si="388"/>
        <v>0</v>
      </c>
      <c r="AA454" s="61">
        <f t="shared" si="388"/>
        <v>0</v>
      </c>
    </row>
    <row r="455" spans="1:27" x14ac:dyDescent="0.2">
      <c r="B455" s="42" t="s">
        <v>197</v>
      </c>
      <c r="C455" s="43">
        <f>C421+C422</f>
        <v>0</v>
      </c>
      <c r="D455" s="43">
        <f t="shared" ref="D455:AA455" si="389">D421+D422</f>
        <v>-2.3283064365386963E-10</v>
      </c>
      <c r="E455" s="43">
        <f t="shared" si="389"/>
        <v>-237426.599999998</v>
      </c>
      <c r="F455" s="43">
        <f t="shared" si="389"/>
        <v>-237426.599999998</v>
      </c>
      <c r="G455" s="43">
        <f t="shared" si="389"/>
        <v>-237426.599999998</v>
      </c>
      <c r="H455" s="43">
        <f t="shared" si="389"/>
        <v>-237426.59999999939</v>
      </c>
      <c r="I455" s="43">
        <f t="shared" si="389"/>
        <v>-25400.739999999409</v>
      </c>
      <c r="J455" s="43">
        <f t="shared" si="389"/>
        <v>-202219.18000000133</v>
      </c>
      <c r="K455" s="43">
        <f t="shared" si="389"/>
        <v>-202219.18000000133</v>
      </c>
      <c r="L455" s="43">
        <f t="shared" si="389"/>
        <v>-202219.18000000133</v>
      </c>
      <c r="M455" s="43">
        <f t="shared" si="389"/>
        <v>-202219.18000000087</v>
      </c>
      <c r="N455" s="43">
        <f t="shared" si="389"/>
        <v>9806.6799999991199</v>
      </c>
      <c r="O455" s="43">
        <f t="shared" si="389"/>
        <v>-202219.18000000087</v>
      </c>
      <c r="P455" s="43">
        <f t="shared" si="389"/>
        <v>-202219.18000000087</v>
      </c>
      <c r="Q455" s="43">
        <f t="shared" si="389"/>
        <v>-202219.18000000087</v>
      </c>
      <c r="R455" s="43">
        <f t="shared" si="389"/>
        <v>-202219.17999999854</v>
      </c>
      <c r="S455" s="43">
        <f t="shared" si="389"/>
        <v>9806.6800000014482</v>
      </c>
      <c r="T455" s="43">
        <f t="shared" si="389"/>
        <v>-202219.17999999854</v>
      </c>
      <c r="U455" s="43">
        <f t="shared" si="389"/>
        <v>-202219.17999999854</v>
      </c>
      <c r="V455" s="43">
        <f t="shared" si="389"/>
        <v>-202219.17999999854</v>
      </c>
      <c r="W455" s="43">
        <f t="shared" si="389"/>
        <v>-202219.17999999993</v>
      </c>
      <c r="X455" s="43">
        <f t="shared" si="389"/>
        <v>9806.6800000000512</v>
      </c>
      <c r="Y455" s="43">
        <f t="shared" si="389"/>
        <v>-202219.17999999993</v>
      </c>
      <c r="Z455" s="43">
        <f t="shared" si="389"/>
        <v>-202219.17999999993</v>
      </c>
      <c r="AA455" s="61">
        <f t="shared" si="389"/>
        <v>-202219.1799999997</v>
      </c>
    </row>
    <row r="456" spans="1:27" x14ac:dyDescent="0.2">
      <c r="B456" s="42" t="s">
        <v>130</v>
      </c>
      <c r="C456" s="43">
        <f>C417</f>
        <v>0</v>
      </c>
      <c r="D456" s="43">
        <f t="shared" ref="D456:AA456" si="390">D417</f>
        <v>0</v>
      </c>
      <c r="E456" s="43">
        <f t="shared" si="390"/>
        <v>0</v>
      </c>
      <c r="F456" s="43">
        <f t="shared" si="390"/>
        <v>0</v>
      </c>
      <c r="G456" s="43">
        <f t="shared" si="390"/>
        <v>0</v>
      </c>
      <c r="H456" s="43">
        <f t="shared" si="390"/>
        <v>0</v>
      </c>
      <c r="I456" s="43">
        <f t="shared" si="390"/>
        <v>0</v>
      </c>
      <c r="J456" s="43">
        <f t="shared" si="390"/>
        <v>0</v>
      </c>
      <c r="K456" s="43">
        <f t="shared" si="390"/>
        <v>0</v>
      </c>
      <c r="L456" s="43">
        <f t="shared" si="390"/>
        <v>0</v>
      </c>
      <c r="M456" s="43">
        <f t="shared" si="390"/>
        <v>0</v>
      </c>
      <c r="N456" s="43">
        <f t="shared" si="390"/>
        <v>0</v>
      </c>
      <c r="O456" s="43">
        <f t="shared" si="390"/>
        <v>0</v>
      </c>
      <c r="P456" s="43">
        <f t="shared" si="390"/>
        <v>0</v>
      </c>
      <c r="Q456" s="43">
        <f t="shared" si="390"/>
        <v>0</v>
      </c>
      <c r="R456" s="43">
        <f t="shared" si="390"/>
        <v>0</v>
      </c>
      <c r="S456" s="43">
        <f t="shared" si="390"/>
        <v>0</v>
      </c>
      <c r="T456" s="43">
        <f t="shared" si="390"/>
        <v>0</v>
      </c>
      <c r="U456" s="43">
        <f t="shared" si="390"/>
        <v>0</v>
      </c>
      <c r="V456" s="43">
        <f t="shared" si="390"/>
        <v>0</v>
      </c>
      <c r="W456" s="43">
        <f t="shared" si="390"/>
        <v>0</v>
      </c>
      <c r="X456" s="43">
        <f t="shared" si="390"/>
        <v>0</v>
      </c>
      <c r="Y456" s="43">
        <f t="shared" si="390"/>
        <v>0</v>
      </c>
      <c r="Z456" s="43">
        <f t="shared" si="390"/>
        <v>0</v>
      </c>
      <c r="AA456" s="61">
        <f t="shared" si="390"/>
        <v>3033287.7</v>
      </c>
    </row>
    <row r="457" spans="1:27" x14ac:dyDescent="0.2">
      <c r="B457" s="45" t="s">
        <v>198</v>
      </c>
      <c r="C457" s="46">
        <f>NPV(sd_af,D453:AA453)+C453</f>
        <v>4115144.2961538462</v>
      </c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8"/>
    </row>
    <row r="458" spans="1:27" x14ac:dyDescent="0.2">
      <c r="B458" s="42" t="s">
        <v>199</v>
      </c>
      <c r="C458" s="64">
        <f>NPV(sd_af,D454:AA454)+C454</f>
        <v>0</v>
      </c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8"/>
    </row>
    <row r="459" spans="1:27" x14ac:dyDescent="0.2">
      <c r="B459" s="42" t="s">
        <v>207</v>
      </c>
      <c r="C459" s="64">
        <f>NPV(sd_af,D455:AA455)+C455</f>
        <v>-2527954.2056249199</v>
      </c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8"/>
    </row>
    <row r="460" spans="1:27" x14ac:dyDescent="0.2">
      <c r="B460" s="42" t="s">
        <v>200</v>
      </c>
      <c r="C460" s="64">
        <f>NPV(sd_af,D456:AA456)+C456</f>
        <v>1183350.6696338924</v>
      </c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8"/>
    </row>
    <row r="461" spans="1:27" x14ac:dyDescent="0.2">
      <c r="B461" s="45" t="s">
        <v>208</v>
      </c>
      <c r="C461" s="46">
        <f>C458-C459+C460</f>
        <v>3711304.8752588122</v>
      </c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8"/>
    </row>
    <row r="462" spans="1:27" x14ac:dyDescent="0.2">
      <c r="B462" s="45" t="s">
        <v>201</v>
      </c>
      <c r="C462" s="46">
        <f>IF(C461&lt;0,C457,C457-C461)</f>
        <v>403839.42089503398</v>
      </c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8"/>
    </row>
    <row r="463" spans="1:27" x14ac:dyDescent="0.2">
      <c r="B463" s="45" t="s">
        <v>202</v>
      </c>
      <c r="C463" s="123">
        <f>ROUND(C462/C457,4)</f>
        <v>9.8100000000000007E-2</v>
      </c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8"/>
    </row>
    <row r="464" spans="1:27" x14ac:dyDescent="0.2">
      <c r="B464" s="45" t="s">
        <v>203</v>
      </c>
      <c r="C464" s="46">
        <f>E50</f>
        <v>2734990</v>
      </c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8"/>
    </row>
    <row r="465" spans="2:27" x14ac:dyDescent="0.2">
      <c r="B465" s="45" t="s">
        <v>204</v>
      </c>
      <c r="C465" s="46">
        <f>ROUND(C464*C463,2)</f>
        <v>268302.52</v>
      </c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8"/>
    </row>
    <row r="466" spans="2:27" x14ac:dyDescent="0.2">
      <c r="B466" s="45" t="s">
        <v>205</v>
      </c>
      <c r="C466" s="124">
        <v>0.85</v>
      </c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8"/>
    </row>
    <row r="467" spans="2:27" x14ac:dyDescent="0.2">
      <c r="B467" s="45" t="s">
        <v>206</v>
      </c>
      <c r="C467" s="46">
        <f>ROUND(C465*C466,2)</f>
        <v>228057.14</v>
      </c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8"/>
    </row>
    <row r="468" spans="2:27" x14ac:dyDescent="0.2">
      <c r="B468" s="125" t="s">
        <v>209</v>
      </c>
      <c r="C468" s="126">
        <f>ROUND(C467/E50,4)</f>
        <v>8.3400000000000002E-2</v>
      </c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4"/>
    </row>
  </sheetData>
  <mergeCells count="5">
    <mergeCell ref="C145:C146"/>
    <mergeCell ref="C148:C149"/>
    <mergeCell ref="C151:C152"/>
    <mergeCell ref="C154:C155"/>
    <mergeCell ref="B2:C2"/>
  </mergeCells>
  <dataValidations count="1">
    <dataValidation type="list" allowBlank="1" showInputMessage="1" showErrorMessage="1" promptTitle="Info" prompt="Proszę wstawić (T)ak lub (N)ie" sqref="C3">
      <formula1>$A$1:$A$2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63"/>
  <sheetViews>
    <sheetView topLeftCell="A19" zoomScaleNormal="100" workbookViewId="0">
      <selection activeCell="V51" sqref="V51"/>
    </sheetView>
  </sheetViews>
  <sheetFormatPr defaultRowHeight="12" x14ac:dyDescent="0.2"/>
  <cols>
    <col min="2" max="2" width="49.5" customWidth="1"/>
    <col min="3" max="4" width="12.33203125" bestFit="1" customWidth="1"/>
    <col min="5" max="8" width="10.1640625" bestFit="1" customWidth="1"/>
    <col min="9" max="9" width="10.83203125" bestFit="1" customWidth="1"/>
    <col min="10" max="13" width="10.1640625" bestFit="1" customWidth="1"/>
    <col min="14" max="14" width="10.83203125" bestFit="1" customWidth="1"/>
    <col min="15" max="18" width="10.1640625" bestFit="1" customWidth="1"/>
    <col min="19" max="19" width="10.83203125" bestFit="1" customWidth="1"/>
    <col min="20" max="23" width="10.1640625" bestFit="1" customWidth="1"/>
    <col min="24" max="24" width="10.83203125" bestFit="1" customWidth="1"/>
    <col min="25" max="26" width="10.1640625" bestFit="1" customWidth="1"/>
    <col min="27" max="27" width="11.6640625" bestFit="1" customWidth="1"/>
  </cols>
  <sheetData>
    <row r="4" spans="1:27" ht="13.5" x14ac:dyDescent="0.25">
      <c r="A4" s="7" t="s">
        <v>235</v>
      </c>
      <c r="B4" s="7" t="s">
        <v>71</v>
      </c>
    </row>
    <row r="5" spans="1:27" x14ac:dyDescent="0.2">
      <c r="B5" s="72" t="s">
        <v>65</v>
      </c>
      <c r="C5" s="11">
        <v>2016</v>
      </c>
      <c r="D5" s="11">
        <v>2017</v>
      </c>
      <c r="E5" s="11">
        <v>2018</v>
      </c>
      <c r="F5" s="11">
        <v>2019</v>
      </c>
      <c r="G5" s="11">
        <v>2020</v>
      </c>
      <c r="H5" s="11">
        <v>2021</v>
      </c>
      <c r="I5" s="11">
        <v>2022</v>
      </c>
      <c r="J5" s="11">
        <v>2023</v>
      </c>
      <c r="K5" s="11">
        <v>2024</v>
      </c>
      <c r="L5" s="11">
        <v>2025</v>
      </c>
      <c r="M5" s="11">
        <v>2026</v>
      </c>
      <c r="N5" s="11">
        <v>2027</v>
      </c>
      <c r="O5" s="11">
        <v>2028</v>
      </c>
      <c r="P5" s="11">
        <v>2029</v>
      </c>
      <c r="Q5" s="11">
        <v>2030</v>
      </c>
      <c r="R5" s="11">
        <v>2031</v>
      </c>
      <c r="S5" s="11">
        <v>2032</v>
      </c>
      <c r="T5" s="11">
        <v>2033</v>
      </c>
      <c r="U5" s="11">
        <v>2034</v>
      </c>
      <c r="V5" s="11">
        <v>2035</v>
      </c>
      <c r="W5" s="11">
        <v>2036</v>
      </c>
      <c r="X5" s="11">
        <v>2037</v>
      </c>
      <c r="Y5" s="11">
        <v>2038</v>
      </c>
      <c r="Z5" s="11">
        <v>2039</v>
      </c>
      <c r="AA5" s="12">
        <v>2040</v>
      </c>
    </row>
    <row r="6" spans="1:27" ht="13.5" x14ac:dyDescent="0.25">
      <c r="B6" s="42" t="s">
        <v>66</v>
      </c>
      <c r="C6" s="43">
        <v>34.9</v>
      </c>
      <c r="D6" s="43">
        <v>36</v>
      </c>
      <c r="E6" s="43">
        <v>37.1</v>
      </c>
      <c r="F6" s="43">
        <v>38.200000000000003</v>
      </c>
      <c r="G6" s="43">
        <v>39.300000000000004</v>
      </c>
      <c r="H6" s="43">
        <v>40.400000000000006</v>
      </c>
      <c r="I6" s="43">
        <v>41.500000000000007</v>
      </c>
      <c r="J6" s="43">
        <v>42.600000000000009</v>
      </c>
      <c r="K6" s="43">
        <v>43.70000000000001</v>
      </c>
      <c r="L6" s="43">
        <v>44.800000000000011</v>
      </c>
      <c r="M6" s="43">
        <v>45.900000000000013</v>
      </c>
      <c r="N6" s="43">
        <v>47.000000000000014</v>
      </c>
      <c r="O6" s="43">
        <v>48.100000000000016</v>
      </c>
      <c r="P6" s="43">
        <v>49.200000000000017</v>
      </c>
      <c r="Q6" s="43">
        <v>50.300000000000018</v>
      </c>
      <c r="R6" s="43">
        <v>51.40000000000002</v>
      </c>
      <c r="S6" s="43">
        <v>52.500000000000021</v>
      </c>
      <c r="T6" s="43">
        <v>53.600000000000023</v>
      </c>
      <c r="U6" s="43">
        <v>54.700000000000024</v>
      </c>
      <c r="V6" s="43">
        <v>55.800000000000026</v>
      </c>
      <c r="W6" s="43">
        <v>56.900000000000027</v>
      </c>
      <c r="X6" s="43">
        <v>58.000000000000028</v>
      </c>
      <c r="Y6" s="43">
        <v>59.10000000000003</v>
      </c>
      <c r="Z6" s="43">
        <v>60.200000000000031</v>
      </c>
      <c r="AA6" s="61">
        <v>61.300000000000033</v>
      </c>
    </row>
    <row r="7" spans="1:27" ht="13.5" x14ac:dyDescent="0.25">
      <c r="B7" s="42" t="s">
        <v>67</v>
      </c>
      <c r="C7" s="43">
        <f t="shared" ref="C7:AA7" si="0">ROUND(C6*$C$8,2)</f>
        <v>146.02000000000001</v>
      </c>
      <c r="D7" s="43">
        <f t="shared" si="0"/>
        <v>150.62</v>
      </c>
      <c r="E7" s="43">
        <f t="shared" si="0"/>
        <v>155.22</v>
      </c>
      <c r="F7" s="43">
        <f t="shared" si="0"/>
        <v>159.82</v>
      </c>
      <c r="G7" s="43">
        <f t="shared" si="0"/>
        <v>164.43</v>
      </c>
      <c r="H7" s="43">
        <f t="shared" si="0"/>
        <v>169.03</v>
      </c>
      <c r="I7" s="43">
        <f t="shared" si="0"/>
        <v>173.63</v>
      </c>
      <c r="J7" s="43">
        <f t="shared" si="0"/>
        <v>178.23</v>
      </c>
      <c r="K7" s="43">
        <f t="shared" si="0"/>
        <v>182.84</v>
      </c>
      <c r="L7" s="43">
        <f t="shared" si="0"/>
        <v>187.44</v>
      </c>
      <c r="M7" s="43">
        <f t="shared" si="0"/>
        <v>192.04</v>
      </c>
      <c r="N7" s="43">
        <f t="shared" si="0"/>
        <v>196.64</v>
      </c>
      <c r="O7" s="43">
        <f t="shared" si="0"/>
        <v>201.25</v>
      </c>
      <c r="P7" s="43">
        <f t="shared" si="0"/>
        <v>205.85</v>
      </c>
      <c r="Q7" s="43">
        <f t="shared" si="0"/>
        <v>210.45</v>
      </c>
      <c r="R7" s="43">
        <f t="shared" si="0"/>
        <v>215.05</v>
      </c>
      <c r="S7" s="43">
        <f t="shared" si="0"/>
        <v>219.65</v>
      </c>
      <c r="T7" s="43">
        <f t="shared" si="0"/>
        <v>224.26</v>
      </c>
      <c r="U7" s="43">
        <f t="shared" si="0"/>
        <v>228.86</v>
      </c>
      <c r="V7" s="43">
        <f t="shared" si="0"/>
        <v>233.46</v>
      </c>
      <c r="W7" s="43">
        <f t="shared" si="0"/>
        <v>238.06</v>
      </c>
      <c r="X7" s="43">
        <f t="shared" si="0"/>
        <v>242.67</v>
      </c>
      <c r="Y7" s="43">
        <f t="shared" si="0"/>
        <v>247.27</v>
      </c>
      <c r="Z7" s="43">
        <f t="shared" si="0"/>
        <v>251.87</v>
      </c>
      <c r="AA7" s="61">
        <f t="shared" si="0"/>
        <v>256.47000000000003</v>
      </c>
    </row>
    <row r="8" spans="1:27" x14ac:dyDescent="0.2">
      <c r="B8" s="51" t="s">
        <v>68</v>
      </c>
      <c r="C8" s="73">
        <v>4.1839000000000004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</row>
    <row r="9" spans="1:27" x14ac:dyDescent="0.2">
      <c r="B9" s="75" t="s">
        <v>69</v>
      </c>
    </row>
    <row r="13" spans="1:27" x14ac:dyDescent="0.2">
      <c r="A13" s="7" t="s">
        <v>236</v>
      </c>
      <c r="B13" s="7" t="s">
        <v>72</v>
      </c>
    </row>
    <row r="14" spans="1:27" x14ac:dyDescent="0.2">
      <c r="B14" s="72" t="s">
        <v>65</v>
      </c>
      <c r="C14" s="11">
        <v>2016</v>
      </c>
      <c r="D14" s="11">
        <v>2017</v>
      </c>
      <c r="E14" s="12">
        <v>2018</v>
      </c>
    </row>
    <row r="15" spans="1:27" ht="13.5" x14ac:dyDescent="0.25">
      <c r="B15" s="51" t="s">
        <v>70</v>
      </c>
      <c r="C15" s="76">
        <v>7.12</v>
      </c>
      <c r="D15" s="76">
        <v>96.26</v>
      </c>
      <c r="E15" s="62">
        <v>224.3</v>
      </c>
    </row>
    <row r="19" spans="1:27" x14ac:dyDescent="0.2">
      <c r="A19" s="7" t="s">
        <v>239</v>
      </c>
      <c r="B19" s="7" t="s">
        <v>240</v>
      </c>
    </row>
    <row r="20" spans="1:27" x14ac:dyDescent="0.2">
      <c r="B20" s="10" t="s">
        <v>240</v>
      </c>
      <c r="C20" s="11">
        <f>C$5</f>
        <v>2016</v>
      </c>
      <c r="D20" s="11">
        <f t="shared" ref="D20:AA20" si="1">D$5</f>
        <v>2017</v>
      </c>
      <c r="E20" s="11">
        <f t="shared" si="1"/>
        <v>2018</v>
      </c>
      <c r="F20" s="11">
        <f t="shared" si="1"/>
        <v>2019</v>
      </c>
      <c r="G20" s="11">
        <f t="shared" si="1"/>
        <v>2020</v>
      </c>
      <c r="H20" s="11">
        <f t="shared" si="1"/>
        <v>2021</v>
      </c>
      <c r="I20" s="11">
        <f t="shared" si="1"/>
        <v>2022</v>
      </c>
      <c r="J20" s="11">
        <f t="shared" si="1"/>
        <v>2023</v>
      </c>
      <c r="K20" s="11">
        <f t="shared" si="1"/>
        <v>2024</v>
      </c>
      <c r="L20" s="11">
        <f t="shared" si="1"/>
        <v>2025</v>
      </c>
      <c r="M20" s="11">
        <f t="shared" si="1"/>
        <v>2026</v>
      </c>
      <c r="N20" s="11">
        <f t="shared" si="1"/>
        <v>2027</v>
      </c>
      <c r="O20" s="11">
        <f t="shared" si="1"/>
        <v>2028</v>
      </c>
      <c r="P20" s="11">
        <f t="shared" si="1"/>
        <v>2029</v>
      </c>
      <c r="Q20" s="11">
        <f t="shared" si="1"/>
        <v>2030</v>
      </c>
      <c r="R20" s="11">
        <f t="shared" si="1"/>
        <v>2031</v>
      </c>
      <c r="S20" s="11">
        <f t="shared" si="1"/>
        <v>2032</v>
      </c>
      <c r="T20" s="11">
        <f t="shared" si="1"/>
        <v>2033</v>
      </c>
      <c r="U20" s="11">
        <f t="shared" si="1"/>
        <v>2034</v>
      </c>
      <c r="V20" s="11">
        <f t="shared" si="1"/>
        <v>2035</v>
      </c>
      <c r="W20" s="11">
        <f t="shared" si="1"/>
        <v>2036</v>
      </c>
      <c r="X20" s="11">
        <f t="shared" si="1"/>
        <v>2037</v>
      </c>
      <c r="Y20" s="11">
        <f t="shared" si="1"/>
        <v>2038</v>
      </c>
      <c r="Z20" s="11">
        <f t="shared" si="1"/>
        <v>2039</v>
      </c>
      <c r="AA20" s="12">
        <f t="shared" si="1"/>
        <v>2040</v>
      </c>
    </row>
    <row r="21" spans="1:27" x14ac:dyDescent="0.2">
      <c r="B21" s="54" t="s">
        <v>241</v>
      </c>
      <c r="C21" s="43">
        <f>ROUND(C15*C7,2)</f>
        <v>1039.6600000000001</v>
      </c>
      <c r="D21" s="43">
        <f>ROUND(D15*D7,2)</f>
        <v>14498.68</v>
      </c>
      <c r="E21" s="43">
        <f>ROUND(E15*E7,2)</f>
        <v>34815.85</v>
      </c>
      <c r="F21" s="43">
        <f>ROUND($E$15*F7,2)</f>
        <v>35847.629999999997</v>
      </c>
      <c r="G21" s="43">
        <f>F21</f>
        <v>35847.629999999997</v>
      </c>
      <c r="H21" s="43">
        <f t="shared" ref="H21:AA21" si="2">G21</f>
        <v>35847.629999999997</v>
      </c>
      <c r="I21" s="43">
        <f t="shared" si="2"/>
        <v>35847.629999999997</v>
      </c>
      <c r="J21" s="43">
        <f t="shared" si="2"/>
        <v>35847.629999999997</v>
      </c>
      <c r="K21" s="43">
        <f t="shared" si="2"/>
        <v>35847.629999999997</v>
      </c>
      <c r="L21" s="43">
        <f t="shared" si="2"/>
        <v>35847.629999999997</v>
      </c>
      <c r="M21" s="43">
        <f t="shared" si="2"/>
        <v>35847.629999999997</v>
      </c>
      <c r="N21" s="43">
        <f t="shared" si="2"/>
        <v>35847.629999999997</v>
      </c>
      <c r="O21" s="43">
        <f t="shared" si="2"/>
        <v>35847.629999999997</v>
      </c>
      <c r="P21" s="43">
        <f t="shared" si="2"/>
        <v>35847.629999999997</v>
      </c>
      <c r="Q21" s="43">
        <f t="shared" si="2"/>
        <v>35847.629999999997</v>
      </c>
      <c r="R21" s="43">
        <f t="shared" si="2"/>
        <v>35847.629999999997</v>
      </c>
      <c r="S21" s="43">
        <f t="shared" si="2"/>
        <v>35847.629999999997</v>
      </c>
      <c r="T21" s="43">
        <f t="shared" si="2"/>
        <v>35847.629999999997</v>
      </c>
      <c r="U21" s="43">
        <f t="shared" si="2"/>
        <v>35847.629999999997</v>
      </c>
      <c r="V21" s="43">
        <f t="shared" si="2"/>
        <v>35847.629999999997</v>
      </c>
      <c r="W21" s="43">
        <f t="shared" si="2"/>
        <v>35847.629999999997</v>
      </c>
      <c r="X21" s="43">
        <f t="shared" si="2"/>
        <v>35847.629999999997</v>
      </c>
      <c r="Y21" s="43">
        <f t="shared" si="2"/>
        <v>35847.629999999997</v>
      </c>
      <c r="Z21" s="43">
        <f t="shared" si="2"/>
        <v>35847.629999999997</v>
      </c>
      <c r="AA21" s="61">
        <f t="shared" si="2"/>
        <v>35847.629999999997</v>
      </c>
    </row>
    <row r="22" spans="1:27" x14ac:dyDescent="0.2">
      <c r="B22" s="54" t="s">
        <v>245</v>
      </c>
      <c r="C22" s="43"/>
      <c r="D22" s="43"/>
      <c r="E22" s="43">
        <f>ROUND(750*500*30%,2)</f>
        <v>112500</v>
      </c>
      <c r="F22" s="43">
        <f>E22</f>
        <v>112500</v>
      </c>
      <c r="G22" s="43">
        <f t="shared" ref="G22:AA22" si="3">F22</f>
        <v>112500</v>
      </c>
      <c r="H22" s="43">
        <f t="shared" si="3"/>
        <v>112500</v>
      </c>
      <c r="I22" s="43">
        <f t="shared" si="3"/>
        <v>112500</v>
      </c>
      <c r="J22" s="43">
        <f t="shared" si="3"/>
        <v>112500</v>
      </c>
      <c r="K22" s="43">
        <f t="shared" si="3"/>
        <v>112500</v>
      </c>
      <c r="L22" s="43">
        <f t="shared" si="3"/>
        <v>112500</v>
      </c>
      <c r="M22" s="43">
        <f t="shared" si="3"/>
        <v>112500</v>
      </c>
      <c r="N22" s="43">
        <f t="shared" si="3"/>
        <v>112500</v>
      </c>
      <c r="O22" s="43">
        <f t="shared" si="3"/>
        <v>112500</v>
      </c>
      <c r="P22" s="43">
        <f t="shared" si="3"/>
        <v>112500</v>
      </c>
      <c r="Q22" s="43">
        <f t="shared" si="3"/>
        <v>112500</v>
      </c>
      <c r="R22" s="43">
        <f t="shared" si="3"/>
        <v>112500</v>
      </c>
      <c r="S22" s="43">
        <f t="shared" si="3"/>
        <v>112500</v>
      </c>
      <c r="T22" s="43">
        <f t="shared" si="3"/>
        <v>112500</v>
      </c>
      <c r="U22" s="43">
        <f t="shared" si="3"/>
        <v>112500</v>
      </c>
      <c r="V22" s="43">
        <f t="shared" si="3"/>
        <v>112500</v>
      </c>
      <c r="W22" s="43">
        <f t="shared" si="3"/>
        <v>112500</v>
      </c>
      <c r="X22" s="43">
        <f t="shared" si="3"/>
        <v>112500</v>
      </c>
      <c r="Y22" s="43">
        <f t="shared" si="3"/>
        <v>112500</v>
      </c>
      <c r="Z22" s="43">
        <f t="shared" si="3"/>
        <v>112500</v>
      </c>
      <c r="AA22" s="61">
        <f t="shared" si="3"/>
        <v>112500</v>
      </c>
    </row>
    <row r="23" spans="1:27" x14ac:dyDescent="0.2">
      <c r="B23" s="55" t="s">
        <v>242</v>
      </c>
      <c r="C23" s="73"/>
      <c r="D23" s="73"/>
      <c r="E23" s="76">
        <f>ROUND(8%*23000*150,2)</f>
        <v>276000</v>
      </c>
      <c r="F23" s="76">
        <f>E23</f>
        <v>276000</v>
      </c>
      <c r="G23" s="76">
        <f t="shared" ref="G23:AA23" si="4">F23</f>
        <v>276000</v>
      </c>
      <c r="H23" s="76">
        <f t="shared" si="4"/>
        <v>276000</v>
      </c>
      <c r="I23" s="76">
        <f t="shared" si="4"/>
        <v>276000</v>
      </c>
      <c r="J23" s="76">
        <f t="shared" si="4"/>
        <v>276000</v>
      </c>
      <c r="K23" s="76">
        <f t="shared" si="4"/>
        <v>276000</v>
      </c>
      <c r="L23" s="76">
        <f t="shared" si="4"/>
        <v>276000</v>
      </c>
      <c r="M23" s="76">
        <f t="shared" si="4"/>
        <v>276000</v>
      </c>
      <c r="N23" s="76">
        <f t="shared" si="4"/>
        <v>276000</v>
      </c>
      <c r="O23" s="76">
        <f t="shared" si="4"/>
        <v>276000</v>
      </c>
      <c r="P23" s="76">
        <f t="shared" si="4"/>
        <v>276000</v>
      </c>
      <c r="Q23" s="76">
        <f t="shared" si="4"/>
        <v>276000</v>
      </c>
      <c r="R23" s="76">
        <f t="shared" si="4"/>
        <v>276000</v>
      </c>
      <c r="S23" s="76">
        <f t="shared" si="4"/>
        <v>276000</v>
      </c>
      <c r="T23" s="76">
        <f t="shared" si="4"/>
        <v>276000</v>
      </c>
      <c r="U23" s="76">
        <f t="shared" si="4"/>
        <v>276000</v>
      </c>
      <c r="V23" s="76">
        <f t="shared" si="4"/>
        <v>276000</v>
      </c>
      <c r="W23" s="76">
        <f t="shared" si="4"/>
        <v>276000</v>
      </c>
      <c r="X23" s="76">
        <f t="shared" si="4"/>
        <v>276000</v>
      </c>
      <c r="Y23" s="76">
        <f t="shared" si="4"/>
        <v>276000</v>
      </c>
      <c r="Z23" s="76">
        <f t="shared" si="4"/>
        <v>276000</v>
      </c>
      <c r="AA23" s="62">
        <f t="shared" si="4"/>
        <v>276000</v>
      </c>
    </row>
    <row r="27" spans="1:27" x14ac:dyDescent="0.2">
      <c r="A27" s="7" t="s">
        <v>237</v>
      </c>
      <c r="B27" s="7" t="s">
        <v>243</v>
      </c>
    </row>
    <row r="28" spans="1:27" x14ac:dyDescent="0.2">
      <c r="B28" s="10" t="s">
        <v>243</v>
      </c>
      <c r="C28" s="11">
        <f>C$5</f>
        <v>2016</v>
      </c>
      <c r="D28" s="11">
        <f t="shared" ref="D28:AA28" si="5">D$5</f>
        <v>2017</v>
      </c>
      <c r="E28" s="11">
        <f t="shared" si="5"/>
        <v>2018</v>
      </c>
      <c r="F28" s="11">
        <f t="shared" si="5"/>
        <v>2019</v>
      </c>
      <c r="G28" s="11">
        <f t="shared" si="5"/>
        <v>2020</v>
      </c>
      <c r="H28" s="11">
        <f t="shared" si="5"/>
        <v>2021</v>
      </c>
      <c r="I28" s="11">
        <f t="shared" si="5"/>
        <v>2022</v>
      </c>
      <c r="J28" s="11">
        <f t="shared" si="5"/>
        <v>2023</v>
      </c>
      <c r="K28" s="11">
        <f t="shared" si="5"/>
        <v>2024</v>
      </c>
      <c r="L28" s="11">
        <f t="shared" si="5"/>
        <v>2025</v>
      </c>
      <c r="M28" s="11">
        <f t="shared" si="5"/>
        <v>2026</v>
      </c>
      <c r="N28" s="11">
        <f t="shared" si="5"/>
        <v>2027</v>
      </c>
      <c r="O28" s="11">
        <f t="shared" si="5"/>
        <v>2028</v>
      </c>
      <c r="P28" s="11">
        <f t="shared" si="5"/>
        <v>2029</v>
      </c>
      <c r="Q28" s="11">
        <f t="shared" si="5"/>
        <v>2030</v>
      </c>
      <c r="R28" s="11">
        <f t="shared" si="5"/>
        <v>2031</v>
      </c>
      <c r="S28" s="11">
        <f t="shared" si="5"/>
        <v>2032</v>
      </c>
      <c r="T28" s="11">
        <f t="shared" si="5"/>
        <v>2033</v>
      </c>
      <c r="U28" s="11">
        <f t="shared" si="5"/>
        <v>2034</v>
      </c>
      <c r="V28" s="11">
        <f t="shared" si="5"/>
        <v>2035</v>
      </c>
      <c r="W28" s="11">
        <f t="shared" si="5"/>
        <v>2036</v>
      </c>
      <c r="X28" s="11">
        <f t="shared" si="5"/>
        <v>2037</v>
      </c>
      <c r="Y28" s="11">
        <f t="shared" si="5"/>
        <v>2038</v>
      </c>
      <c r="Z28" s="11">
        <f t="shared" si="5"/>
        <v>2039</v>
      </c>
      <c r="AA28" s="12">
        <f t="shared" si="5"/>
        <v>2040</v>
      </c>
    </row>
    <row r="29" spans="1:27" x14ac:dyDescent="0.2">
      <c r="B29" s="54" t="s">
        <v>244</v>
      </c>
      <c r="C29" s="43"/>
      <c r="D29" s="43"/>
      <c r="E29" s="43">
        <f>ROUND('Analiza finansowa'!F124*0.75,2)</f>
        <v>178069.95</v>
      </c>
      <c r="F29" s="43">
        <f>E29</f>
        <v>178069.95</v>
      </c>
      <c r="G29" s="43">
        <f t="shared" ref="G29:AA29" si="6">F29</f>
        <v>178069.95</v>
      </c>
      <c r="H29" s="43">
        <f t="shared" si="6"/>
        <v>178069.95</v>
      </c>
      <c r="I29" s="43">
        <f t="shared" si="6"/>
        <v>178069.95</v>
      </c>
      <c r="J29" s="43">
        <f t="shared" si="6"/>
        <v>178069.95</v>
      </c>
      <c r="K29" s="43">
        <f t="shared" si="6"/>
        <v>178069.95</v>
      </c>
      <c r="L29" s="43">
        <f t="shared" si="6"/>
        <v>178069.95</v>
      </c>
      <c r="M29" s="43">
        <f t="shared" si="6"/>
        <v>178069.95</v>
      </c>
      <c r="N29" s="43">
        <f t="shared" si="6"/>
        <v>178069.95</v>
      </c>
      <c r="O29" s="43">
        <f t="shared" si="6"/>
        <v>178069.95</v>
      </c>
      <c r="P29" s="43">
        <f t="shared" si="6"/>
        <v>178069.95</v>
      </c>
      <c r="Q29" s="43">
        <f t="shared" si="6"/>
        <v>178069.95</v>
      </c>
      <c r="R29" s="43">
        <f t="shared" si="6"/>
        <v>178069.95</v>
      </c>
      <c r="S29" s="43">
        <f t="shared" si="6"/>
        <v>178069.95</v>
      </c>
      <c r="T29" s="43">
        <f t="shared" si="6"/>
        <v>178069.95</v>
      </c>
      <c r="U29" s="43">
        <f t="shared" si="6"/>
        <v>178069.95</v>
      </c>
      <c r="V29" s="43">
        <f t="shared" si="6"/>
        <v>178069.95</v>
      </c>
      <c r="W29" s="43">
        <f t="shared" si="6"/>
        <v>178069.95</v>
      </c>
      <c r="X29" s="43">
        <f t="shared" si="6"/>
        <v>178069.95</v>
      </c>
      <c r="Y29" s="43">
        <f t="shared" si="6"/>
        <v>178069.95</v>
      </c>
      <c r="Z29" s="43">
        <f t="shared" si="6"/>
        <v>178069.95</v>
      </c>
      <c r="AA29" s="61">
        <f t="shared" si="6"/>
        <v>178069.95</v>
      </c>
    </row>
    <row r="30" spans="1:27" x14ac:dyDescent="0.2">
      <c r="B30" s="54" t="s">
        <v>246</v>
      </c>
      <c r="C30" s="43"/>
      <c r="D30" s="43"/>
      <c r="E30" s="43"/>
      <c r="F30" s="43">
        <f t="shared" ref="F30:AA30" si="7">E30</f>
        <v>0</v>
      </c>
      <c r="G30" s="43">
        <f t="shared" si="7"/>
        <v>0</v>
      </c>
      <c r="H30" s="43">
        <f t="shared" si="7"/>
        <v>0</v>
      </c>
      <c r="I30" s="43">
        <f t="shared" si="7"/>
        <v>0</v>
      </c>
      <c r="J30" s="43">
        <f t="shared" si="7"/>
        <v>0</v>
      </c>
      <c r="K30" s="43">
        <f t="shared" si="7"/>
        <v>0</v>
      </c>
      <c r="L30" s="43">
        <f t="shared" si="7"/>
        <v>0</v>
      </c>
      <c r="M30" s="43">
        <f t="shared" si="7"/>
        <v>0</v>
      </c>
      <c r="N30" s="43">
        <f t="shared" si="7"/>
        <v>0</v>
      </c>
      <c r="O30" s="43">
        <f t="shared" si="7"/>
        <v>0</v>
      </c>
      <c r="P30" s="43">
        <f t="shared" si="7"/>
        <v>0</v>
      </c>
      <c r="Q30" s="43">
        <f t="shared" si="7"/>
        <v>0</v>
      </c>
      <c r="R30" s="43">
        <f t="shared" si="7"/>
        <v>0</v>
      </c>
      <c r="S30" s="43">
        <f t="shared" si="7"/>
        <v>0</v>
      </c>
      <c r="T30" s="43">
        <f t="shared" si="7"/>
        <v>0</v>
      </c>
      <c r="U30" s="43">
        <f t="shared" si="7"/>
        <v>0</v>
      </c>
      <c r="V30" s="43">
        <f t="shared" si="7"/>
        <v>0</v>
      </c>
      <c r="W30" s="43">
        <f t="shared" si="7"/>
        <v>0</v>
      </c>
      <c r="X30" s="43">
        <f t="shared" si="7"/>
        <v>0</v>
      </c>
      <c r="Y30" s="43">
        <f t="shared" si="7"/>
        <v>0</v>
      </c>
      <c r="Z30" s="43">
        <f t="shared" si="7"/>
        <v>0</v>
      </c>
      <c r="AA30" s="61">
        <f t="shared" si="7"/>
        <v>0</v>
      </c>
    </row>
    <row r="31" spans="1:27" x14ac:dyDescent="0.2">
      <c r="B31" s="55" t="s">
        <v>246</v>
      </c>
      <c r="C31" s="76"/>
      <c r="D31" s="76"/>
      <c r="E31" s="76"/>
      <c r="F31" s="76">
        <f t="shared" ref="F31:AA31" si="8">E31</f>
        <v>0</v>
      </c>
      <c r="G31" s="76">
        <f t="shared" si="8"/>
        <v>0</v>
      </c>
      <c r="H31" s="76">
        <f t="shared" si="8"/>
        <v>0</v>
      </c>
      <c r="I31" s="76">
        <f t="shared" si="8"/>
        <v>0</v>
      </c>
      <c r="J31" s="76">
        <f t="shared" si="8"/>
        <v>0</v>
      </c>
      <c r="K31" s="76">
        <f t="shared" si="8"/>
        <v>0</v>
      </c>
      <c r="L31" s="76">
        <f t="shared" si="8"/>
        <v>0</v>
      </c>
      <c r="M31" s="76">
        <f t="shared" si="8"/>
        <v>0</v>
      </c>
      <c r="N31" s="76">
        <f t="shared" si="8"/>
        <v>0</v>
      </c>
      <c r="O31" s="76">
        <f t="shared" si="8"/>
        <v>0</v>
      </c>
      <c r="P31" s="76">
        <f t="shared" si="8"/>
        <v>0</v>
      </c>
      <c r="Q31" s="76">
        <f t="shared" si="8"/>
        <v>0</v>
      </c>
      <c r="R31" s="76">
        <f t="shared" si="8"/>
        <v>0</v>
      </c>
      <c r="S31" s="76">
        <f t="shared" si="8"/>
        <v>0</v>
      </c>
      <c r="T31" s="76">
        <f t="shared" si="8"/>
        <v>0</v>
      </c>
      <c r="U31" s="76">
        <f t="shared" si="8"/>
        <v>0</v>
      </c>
      <c r="V31" s="76">
        <f t="shared" si="8"/>
        <v>0</v>
      </c>
      <c r="W31" s="76">
        <f t="shared" si="8"/>
        <v>0</v>
      </c>
      <c r="X31" s="76">
        <f t="shared" si="8"/>
        <v>0</v>
      </c>
      <c r="Y31" s="76">
        <f t="shared" si="8"/>
        <v>0</v>
      </c>
      <c r="Z31" s="76">
        <f t="shared" si="8"/>
        <v>0</v>
      </c>
      <c r="AA31" s="62">
        <f t="shared" si="8"/>
        <v>0</v>
      </c>
    </row>
    <row r="35" spans="1:27" x14ac:dyDescent="0.2">
      <c r="A35" s="7" t="s">
        <v>238</v>
      </c>
      <c r="B35" s="7" t="s">
        <v>130</v>
      </c>
    </row>
    <row r="36" spans="1:27" x14ac:dyDescent="0.2">
      <c r="B36" s="127" t="s">
        <v>133</v>
      </c>
      <c r="C36" s="128">
        <f>ROUND(C37*C38,2)</f>
        <v>2045091.42</v>
      </c>
    </row>
    <row r="37" spans="1:27" x14ac:dyDescent="0.2">
      <c r="B37" s="42" t="s">
        <v>178</v>
      </c>
      <c r="C37" s="61">
        <f>IF(AA50-AA51+AA55&gt;0,AA50-AA51+AA55,0)</f>
        <v>340848.56999999972</v>
      </c>
    </row>
    <row r="38" spans="1:27" x14ac:dyDescent="0.2">
      <c r="B38" s="51" t="s">
        <v>132</v>
      </c>
      <c r="C38" s="74">
        <v>6</v>
      </c>
    </row>
    <row r="42" spans="1:27" x14ac:dyDescent="0.2">
      <c r="A42" s="7" t="s">
        <v>259</v>
      </c>
      <c r="B42" s="7" t="s">
        <v>243</v>
      </c>
    </row>
    <row r="43" spans="1:27" x14ac:dyDescent="0.2">
      <c r="B43" s="10" t="s">
        <v>15</v>
      </c>
      <c r="C43" s="11">
        <f>C$5</f>
        <v>2016</v>
      </c>
      <c r="D43" s="11">
        <f t="shared" ref="D43:AA43" si="9">D$5</f>
        <v>2017</v>
      </c>
      <c r="E43" s="11">
        <f t="shared" si="9"/>
        <v>2018</v>
      </c>
      <c r="F43" s="11">
        <f t="shared" si="9"/>
        <v>2019</v>
      </c>
      <c r="G43" s="11">
        <f t="shared" si="9"/>
        <v>2020</v>
      </c>
      <c r="H43" s="11">
        <f t="shared" si="9"/>
        <v>2021</v>
      </c>
      <c r="I43" s="11">
        <f t="shared" si="9"/>
        <v>2022</v>
      </c>
      <c r="J43" s="11">
        <f t="shared" si="9"/>
        <v>2023</v>
      </c>
      <c r="K43" s="11">
        <f t="shared" si="9"/>
        <v>2024</v>
      </c>
      <c r="L43" s="11">
        <f t="shared" si="9"/>
        <v>2025</v>
      </c>
      <c r="M43" s="11">
        <f t="shared" si="9"/>
        <v>2026</v>
      </c>
      <c r="N43" s="11">
        <f t="shared" si="9"/>
        <v>2027</v>
      </c>
      <c r="O43" s="11">
        <f t="shared" si="9"/>
        <v>2028</v>
      </c>
      <c r="P43" s="11">
        <f t="shared" si="9"/>
        <v>2029</v>
      </c>
      <c r="Q43" s="11">
        <f t="shared" si="9"/>
        <v>2030</v>
      </c>
      <c r="R43" s="11">
        <f t="shared" si="9"/>
        <v>2031</v>
      </c>
      <c r="S43" s="11">
        <f t="shared" si="9"/>
        <v>2032</v>
      </c>
      <c r="T43" s="11">
        <f t="shared" si="9"/>
        <v>2033</v>
      </c>
      <c r="U43" s="11">
        <f t="shared" si="9"/>
        <v>2034</v>
      </c>
      <c r="V43" s="11">
        <f t="shared" si="9"/>
        <v>2035</v>
      </c>
      <c r="W43" s="11">
        <f t="shared" si="9"/>
        <v>2036</v>
      </c>
      <c r="X43" s="11">
        <f t="shared" si="9"/>
        <v>2037</v>
      </c>
      <c r="Y43" s="11">
        <f t="shared" si="9"/>
        <v>2038</v>
      </c>
      <c r="Z43" s="11">
        <f t="shared" si="9"/>
        <v>2039</v>
      </c>
      <c r="AA43" s="12">
        <f t="shared" si="9"/>
        <v>2040</v>
      </c>
    </row>
    <row r="44" spans="1:27" x14ac:dyDescent="0.2">
      <c r="B44" s="45" t="s">
        <v>247</v>
      </c>
      <c r="C44" s="46">
        <f>'Analiza finansowa'!C424</f>
        <v>-980820.45</v>
      </c>
      <c r="D44" s="46">
        <f>'Analiza finansowa'!D424</f>
        <v>-3259696.8</v>
      </c>
      <c r="E44" s="46">
        <f>'Analiza finansowa'!E424</f>
        <v>237426.599999998</v>
      </c>
      <c r="F44" s="46">
        <f>'Analiza finansowa'!F424</f>
        <v>237426.599999998</v>
      </c>
      <c r="G44" s="46">
        <f>'Analiza finansowa'!G424</f>
        <v>237426.599999998</v>
      </c>
      <c r="H44" s="46">
        <f>'Analiza finansowa'!H424</f>
        <v>237426.59999999939</v>
      </c>
      <c r="I44" s="46">
        <f>'Analiza finansowa'!I424</f>
        <v>25400.739999999409</v>
      </c>
      <c r="J44" s="46">
        <f>'Analiza finansowa'!J424</f>
        <v>202219.18000000133</v>
      </c>
      <c r="K44" s="46">
        <f>'Analiza finansowa'!K424</f>
        <v>202219.18000000133</v>
      </c>
      <c r="L44" s="46">
        <f>'Analiza finansowa'!L424</f>
        <v>202219.18000000133</v>
      </c>
      <c r="M44" s="46">
        <f>'Analiza finansowa'!M424</f>
        <v>202219.18000000087</v>
      </c>
      <c r="N44" s="46">
        <f>'Analiza finansowa'!N424</f>
        <v>-9806.6799999991199</v>
      </c>
      <c r="O44" s="46">
        <f>'Analiza finansowa'!O424</f>
        <v>202219.18000000087</v>
      </c>
      <c r="P44" s="46">
        <f>'Analiza finansowa'!P424</f>
        <v>202219.18000000087</v>
      </c>
      <c r="Q44" s="46">
        <f>'Analiza finansowa'!Q424</f>
        <v>202219.18000000087</v>
      </c>
      <c r="R44" s="46">
        <f>'Analiza finansowa'!R424</f>
        <v>202219.17999999854</v>
      </c>
      <c r="S44" s="46">
        <f>'Analiza finansowa'!S424</f>
        <v>-9806.6800000014482</v>
      </c>
      <c r="T44" s="46">
        <f>'Analiza finansowa'!T424</f>
        <v>202219.17999999854</v>
      </c>
      <c r="U44" s="46">
        <f>'Analiza finansowa'!U424</f>
        <v>202219.17999999854</v>
      </c>
      <c r="V44" s="46">
        <f>'Analiza finansowa'!V424</f>
        <v>202219.17999999854</v>
      </c>
      <c r="W44" s="46">
        <f>'Analiza finansowa'!W424</f>
        <v>202219.17999999993</v>
      </c>
      <c r="X44" s="46">
        <f>'Analiza finansowa'!X424</f>
        <v>-9806.6800000000512</v>
      </c>
      <c r="Y44" s="46">
        <f>'Analiza finansowa'!Y424</f>
        <v>202219.17999999993</v>
      </c>
      <c r="Z44" s="46">
        <f>'Analiza finansowa'!Z424</f>
        <v>202219.17999999993</v>
      </c>
      <c r="AA44" s="44">
        <f>'Analiza finansowa'!AA424-'Analiza finansowa'!C407</f>
        <v>202219.1799999997</v>
      </c>
    </row>
    <row r="45" spans="1:27" x14ac:dyDescent="0.2">
      <c r="B45" s="45" t="s">
        <v>248</v>
      </c>
      <c r="C45" s="46">
        <f>SUM(C46:C49)</f>
        <v>-183405.45</v>
      </c>
      <c r="D45" s="46">
        <f t="shared" ref="D45:E45" si="10">SUM(D46:D49)</f>
        <v>-609536.80000000005</v>
      </c>
      <c r="E45" s="46">
        <f t="shared" si="10"/>
        <v>107648.29000000001</v>
      </c>
      <c r="F45" s="46">
        <f t="shared" ref="F45" si="11">SUM(F46:F49)</f>
        <v>107648.29000000001</v>
      </c>
      <c r="G45" s="46">
        <f t="shared" ref="G45" si="12">SUM(G46:G49)</f>
        <v>107648.29000000001</v>
      </c>
      <c r="H45" s="46">
        <f t="shared" ref="H45" si="13">SUM(H46:H49)</f>
        <v>107648.29000000001</v>
      </c>
      <c r="I45" s="46">
        <f t="shared" ref="I45" si="14">SUM(I46:I49)</f>
        <v>147933.20000000001</v>
      </c>
      <c r="J45" s="46">
        <f t="shared" ref="J45" si="15">SUM(J46:J49)</f>
        <v>107648.29000000001</v>
      </c>
      <c r="K45" s="46">
        <f t="shared" ref="K45" si="16">SUM(K46:K49)</f>
        <v>107648.29000000001</v>
      </c>
      <c r="L45" s="46">
        <f t="shared" ref="L45" si="17">SUM(L46:L49)</f>
        <v>107648.29000000001</v>
      </c>
      <c r="M45" s="46">
        <f t="shared" ref="M45" si="18">SUM(M46:M49)</f>
        <v>107648.29000000001</v>
      </c>
      <c r="N45" s="46">
        <f t="shared" ref="N45" si="19">SUM(N46:N49)</f>
        <v>147933.20000000001</v>
      </c>
      <c r="O45" s="46">
        <f t="shared" ref="O45" si="20">SUM(O46:O49)</f>
        <v>107648.29000000001</v>
      </c>
      <c r="P45" s="46">
        <f t="shared" ref="P45" si="21">SUM(P46:P49)</f>
        <v>107648.29000000001</v>
      </c>
      <c r="Q45" s="46">
        <f t="shared" ref="Q45" si="22">SUM(Q46:Q49)</f>
        <v>107648.29000000001</v>
      </c>
      <c r="R45" s="46">
        <f t="shared" ref="R45" si="23">SUM(R46:R49)</f>
        <v>107648.29000000001</v>
      </c>
      <c r="S45" s="46">
        <f t="shared" ref="S45" si="24">SUM(S46:S49)</f>
        <v>147933.20000000001</v>
      </c>
      <c r="T45" s="46">
        <f t="shared" ref="T45" si="25">SUM(T46:T49)</f>
        <v>107648.29000000001</v>
      </c>
      <c r="U45" s="46">
        <f t="shared" ref="U45" si="26">SUM(U46:U49)</f>
        <v>107648.29000000001</v>
      </c>
      <c r="V45" s="46">
        <f t="shared" ref="V45" si="27">SUM(V46:V49)</f>
        <v>107648.29000000001</v>
      </c>
      <c r="W45" s="46">
        <f t="shared" ref="W45" si="28">SUM(W46:W49)</f>
        <v>107648.29000000001</v>
      </c>
      <c r="X45" s="46">
        <f t="shared" ref="X45" si="29">SUM(X46:X49)</f>
        <v>147933.20000000001</v>
      </c>
      <c r="Y45" s="46">
        <f t="shared" ref="Y45" si="30">SUM(Y46:Y49)</f>
        <v>107648.29000000001</v>
      </c>
      <c r="Z45" s="46">
        <f t="shared" ref="Z45" si="31">SUM(Z46:Z49)</f>
        <v>107648.29000000001</v>
      </c>
      <c r="AA45" s="44">
        <f t="shared" ref="AA45" si="32">SUM(AA46:AA49)</f>
        <v>107648.29000000001</v>
      </c>
    </row>
    <row r="46" spans="1:27" x14ac:dyDescent="0.2">
      <c r="B46" s="129" t="s">
        <v>249</v>
      </c>
      <c r="C46" s="43">
        <f>-('Analiza finansowa'!C42+'Analiza finansowa'!C40)</f>
        <v>-183405.45</v>
      </c>
      <c r="D46" s="43">
        <f>-('Analiza finansowa'!D42+'Analiza finansowa'!D40)</f>
        <v>-609536.80000000005</v>
      </c>
      <c r="E46" s="43">
        <f>ROUND(0.19*'Analiza finansowa'!E162,2)</f>
        <v>0</v>
      </c>
      <c r="F46" s="43">
        <f>ROUND(0.19*'Analiza finansowa'!F162,2)</f>
        <v>0</v>
      </c>
      <c r="G46" s="43">
        <f>ROUND(0.19*'Analiza finansowa'!G162,2)</f>
        <v>0</v>
      </c>
      <c r="H46" s="43">
        <f>ROUND(0.19*'Analiza finansowa'!H162,2)</f>
        <v>0</v>
      </c>
      <c r="I46" s="43">
        <f>ROUND(0.19*'Analiza finansowa'!I162,2)</f>
        <v>40284.910000000003</v>
      </c>
      <c r="J46" s="43">
        <f>ROUND(0.19*'Analiza finansowa'!J162,2)</f>
        <v>0</v>
      </c>
      <c r="K46" s="43">
        <f>ROUND(0.19*'Analiza finansowa'!K162,2)</f>
        <v>0</v>
      </c>
      <c r="L46" s="43">
        <f>ROUND(0.19*'Analiza finansowa'!L162,2)</f>
        <v>0</v>
      </c>
      <c r="M46" s="43">
        <f>ROUND(0.19*'Analiza finansowa'!M162,2)</f>
        <v>0</v>
      </c>
      <c r="N46" s="43">
        <f>ROUND(0.19*'Analiza finansowa'!N162,2)</f>
        <v>40284.910000000003</v>
      </c>
      <c r="O46" s="43">
        <f>ROUND(0.19*'Analiza finansowa'!O162,2)</f>
        <v>0</v>
      </c>
      <c r="P46" s="43">
        <f>ROUND(0.19*'Analiza finansowa'!P162,2)</f>
        <v>0</v>
      </c>
      <c r="Q46" s="43">
        <f>ROUND(0.19*'Analiza finansowa'!Q162,2)</f>
        <v>0</v>
      </c>
      <c r="R46" s="43">
        <f>ROUND(0.19*'Analiza finansowa'!R162,2)</f>
        <v>0</v>
      </c>
      <c r="S46" s="43">
        <f>ROUND(0.19*'Analiza finansowa'!S162,2)</f>
        <v>40284.910000000003</v>
      </c>
      <c r="T46" s="43">
        <f>ROUND(0.19*'Analiza finansowa'!T162,2)</f>
        <v>0</v>
      </c>
      <c r="U46" s="43">
        <f>ROUND(0.19*'Analiza finansowa'!U162,2)</f>
        <v>0</v>
      </c>
      <c r="V46" s="43">
        <f>ROUND(0.19*'Analiza finansowa'!V162,2)</f>
        <v>0</v>
      </c>
      <c r="W46" s="43">
        <f>ROUND(0.19*'Analiza finansowa'!W162,2)</f>
        <v>0</v>
      </c>
      <c r="X46" s="43">
        <f>ROUND(0.19*'Analiza finansowa'!X162,2)</f>
        <v>40284.910000000003</v>
      </c>
      <c r="Y46" s="43">
        <f>ROUND(0.19*'Analiza finansowa'!Y162,2)</f>
        <v>0</v>
      </c>
      <c r="Z46" s="43">
        <f>ROUND(0.19*'Analiza finansowa'!Z162,2)</f>
        <v>0</v>
      </c>
      <c r="AA46" s="61">
        <f>ROUND(0.19*'Analiza finansowa'!AA162,2)</f>
        <v>0</v>
      </c>
    </row>
    <row r="47" spans="1:27" x14ac:dyDescent="0.2">
      <c r="B47" s="129" t="s">
        <v>278</v>
      </c>
      <c r="C47" s="43"/>
      <c r="D47" s="43"/>
      <c r="E47" s="43">
        <f>ROUND(0.19*E29,2)</f>
        <v>33833.29</v>
      </c>
      <c r="F47" s="43">
        <f t="shared" ref="F47:AA47" si="33">ROUND(0.19*F29,2)</f>
        <v>33833.29</v>
      </c>
      <c r="G47" s="43">
        <f t="shared" si="33"/>
        <v>33833.29</v>
      </c>
      <c r="H47" s="43">
        <f t="shared" si="33"/>
        <v>33833.29</v>
      </c>
      <c r="I47" s="43">
        <f t="shared" si="33"/>
        <v>33833.29</v>
      </c>
      <c r="J47" s="43">
        <f t="shared" si="33"/>
        <v>33833.29</v>
      </c>
      <c r="K47" s="43">
        <f t="shared" si="33"/>
        <v>33833.29</v>
      </c>
      <c r="L47" s="43">
        <f t="shared" si="33"/>
        <v>33833.29</v>
      </c>
      <c r="M47" s="43">
        <f t="shared" si="33"/>
        <v>33833.29</v>
      </c>
      <c r="N47" s="43">
        <f t="shared" si="33"/>
        <v>33833.29</v>
      </c>
      <c r="O47" s="43">
        <f t="shared" si="33"/>
        <v>33833.29</v>
      </c>
      <c r="P47" s="43">
        <f t="shared" si="33"/>
        <v>33833.29</v>
      </c>
      <c r="Q47" s="43">
        <f t="shared" si="33"/>
        <v>33833.29</v>
      </c>
      <c r="R47" s="43">
        <f t="shared" si="33"/>
        <v>33833.29</v>
      </c>
      <c r="S47" s="43">
        <f t="shared" si="33"/>
        <v>33833.29</v>
      </c>
      <c r="T47" s="43">
        <f t="shared" si="33"/>
        <v>33833.29</v>
      </c>
      <c r="U47" s="43">
        <f t="shared" si="33"/>
        <v>33833.29</v>
      </c>
      <c r="V47" s="43">
        <f t="shared" si="33"/>
        <v>33833.29</v>
      </c>
      <c r="W47" s="43">
        <f t="shared" si="33"/>
        <v>33833.29</v>
      </c>
      <c r="X47" s="43">
        <f t="shared" si="33"/>
        <v>33833.29</v>
      </c>
      <c r="Y47" s="43">
        <f t="shared" si="33"/>
        <v>33833.29</v>
      </c>
      <c r="Z47" s="43">
        <f t="shared" si="33"/>
        <v>33833.29</v>
      </c>
      <c r="AA47" s="61">
        <f t="shared" si="33"/>
        <v>33833.29</v>
      </c>
    </row>
    <row r="48" spans="1:27" x14ac:dyDescent="0.2">
      <c r="B48" s="129" t="s">
        <v>250</v>
      </c>
      <c r="C48" s="47"/>
      <c r="D48" s="47"/>
      <c r="E48" s="43">
        <f>ROUND(19%*E22,2)</f>
        <v>21375</v>
      </c>
      <c r="F48" s="43">
        <f t="shared" ref="F48:AA48" si="34">ROUND(19%*F22,2)</f>
        <v>21375</v>
      </c>
      <c r="G48" s="43">
        <f t="shared" si="34"/>
        <v>21375</v>
      </c>
      <c r="H48" s="43">
        <f t="shared" si="34"/>
        <v>21375</v>
      </c>
      <c r="I48" s="43">
        <f t="shared" si="34"/>
        <v>21375</v>
      </c>
      <c r="J48" s="43">
        <f t="shared" si="34"/>
        <v>21375</v>
      </c>
      <c r="K48" s="43">
        <f t="shared" si="34"/>
        <v>21375</v>
      </c>
      <c r="L48" s="43">
        <f t="shared" si="34"/>
        <v>21375</v>
      </c>
      <c r="M48" s="43">
        <f t="shared" si="34"/>
        <v>21375</v>
      </c>
      <c r="N48" s="43">
        <f t="shared" si="34"/>
        <v>21375</v>
      </c>
      <c r="O48" s="43">
        <f t="shared" si="34"/>
        <v>21375</v>
      </c>
      <c r="P48" s="43">
        <f t="shared" si="34"/>
        <v>21375</v>
      </c>
      <c r="Q48" s="43">
        <f t="shared" si="34"/>
        <v>21375</v>
      </c>
      <c r="R48" s="43">
        <f t="shared" si="34"/>
        <v>21375</v>
      </c>
      <c r="S48" s="43">
        <f t="shared" si="34"/>
        <v>21375</v>
      </c>
      <c r="T48" s="43">
        <f t="shared" si="34"/>
        <v>21375</v>
      </c>
      <c r="U48" s="43">
        <f t="shared" si="34"/>
        <v>21375</v>
      </c>
      <c r="V48" s="43">
        <f t="shared" si="34"/>
        <v>21375</v>
      </c>
      <c r="W48" s="43">
        <f t="shared" si="34"/>
        <v>21375</v>
      </c>
      <c r="X48" s="43">
        <f t="shared" si="34"/>
        <v>21375</v>
      </c>
      <c r="Y48" s="43">
        <f t="shared" si="34"/>
        <v>21375</v>
      </c>
      <c r="Z48" s="43">
        <f t="shared" si="34"/>
        <v>21375</v>
      </c>
      <c r="AA48" s="61">
        <f t="shared" si="34"/>
        <v>21375</v>
      </c>
    </row>
    <row r="49" spans="2:27" x14ac:dyDescent="0.2">
      <c r="B49" s="129" t="s">
        <v>251</v>
      </c>
      <c r="C49" s="47"/>
      <c r="D49" s="47"/>
      <c r="E49" s="43">
        <f>ROUND(19%*E23,2)</f>
        <v>52440</v>
      </c>
      <c r="F49" s="43">
        <f t="shared" ref="F49:AA49" si="35">ROUND(19%*F23,2)</f>
        <v>52440</v>
      </c>
      <c r="G49" s="43">
        <f t="shared" si="35"/>
        <v>52440</v>
      </c>
      <c r="H49" s="43">
        <f t="shared" si="35"/>
        <v>52440</v>
      </c>
      <c r="I49" s="43">
        <f t="shared" si="35"/>
        <v>52440</v>
      </c>
      <c r="J49" s="43">
        <f t="shared" si="35"/>
        <v>52440</v>
      </c>
      <c r="K49" s="43">
        <f t="shared" si="35"/>
        <v>52440</v>
      </c>
      <c r="L49" s="43">
        <f t="shared" si="35"/>
        <v>52440</v>
      </c>
      <c r="M49" s="43">
        <f t="shared" si="35"/>
        <v>52440</v>
      </c>
      <c r="N49" s="43">
        <f t="shared" si="35"/>
        <v>52440</v>
      </c>
      <c r="O49" s="43">
        <f t="shared" si="35"/>
        <v>52440</v>
      </c>
      <c r="P49" s="43">
        <f t="shared" si="35"/>
        <v>52440</v>
      </c>
      <c r="Q49" s="43">
        <f t="shared" si="35"/>
        <v>52440</v>
      </c>
      <c r="R49" s="43">
        <f t="shared" si="35"/>
        <v>52440</v>
      </c>
      <c r="S49" s="43">
        <f t="shared" si="35"/>
        <v>52440</v>
      </c>
      <c r="T49" s="43">
        <f t="shared" si="35"/>
        <v>52440</v>
      </c>
      <c r="U49" s="43">
        <f t="shared" si="35"/>
        <v>52440</v>
      </c>
      <c r="V49" s="43">
        <f t="shared" si="35"/>
        <v>52440</v>
      </c>
      <c r="W49" s="43">
        <f t="shared" si="35"/>
        <v>52440</v>
      </c>
      <c r="X49" s="43">
        <f t="shared" si="35"/>
        <v>52440</v>
      </c>
      <c r="Y49" s="43">
        <f t="shared" si="35"/>
        <v>52440</v>
      </c>
      <c r="Z49" s="43">
        <f t="shared" si="35"/>
        <v>52440</v>
      </c>
      <c r="AA49" s="61">
        <f t="shared" si="35"/>
        <v>52440</v>
      </c>
    </row>
    <row r="50" spans="2:27" x14ac:dyDescent="0.2">
      <c r="B50" s="45" t="s">
        <v>252</v>
      </c>
      <c r="C50" s="46">
        <f>C44-C45</f>
        <v>-797415</v>
      </c>
      <c r="D50" s="46">
        <f t="shared" ref="D50:AA50" si="36">D44-D45</f>
        <v>-2650160</v>
      </c>
      <c r="E50" s="46">
        <f t="shared" si="36"/>
        <v>129778.30999999799</v>
      </c>
      <c r="F50" s="46">
        <f t="shared" si="36"/>
        <v>129778.30999999799</v>
      </c>
      <c r="G50" s="46">
        <f t="shared" si="36"/>
        <v>129778.30999999799</v>
      </c>
      <c r="H50" s="46">
        <f t="shared" si="36"/>
        <v>129778.30999999939</v>
      </c>
      <c r="I50" s="46">
        <f t="shared" si="36"/>
        <v>-122532.4600000006</v>
      </c>
      <c r="J50" s="46">
        <f t="shared" si="36"/>
        <v>94570.890000001324</v>
      </c>
      <c r="K50" s="46">
        <f t="shared" si="36"/>
        <v>94570.890000001324</v>
      </c>
      <c r="L50" s="46">
        <f t="shared" si="36"/>
        <v>94570.890000001324</v>
      </c>
      <c r="M50" s="46">
        <f t="shared" si="36"/>
        <v>94570.890000000858</v>
      </c>
      <c r="N50" s="46">
        <f t="shared" si="36"/>
        <v>-157739.87999999913</v>
      </c>
      <c r="O50" s="46">
        <f t="shared" si="36"/>
        <v>94570.890000000858</v>
      </c>
      <c r="P50" s="46">
        <f t="shared" si="36"/>
        <v>94570.890000000858</v>
      </c>
      <c r="Q50" s="46">
        <f t="shared" si="36"/>
        <v>94570.890000000858</v>
      </c>
      <c r="R50" s="46">
        <f t="shared" si="36"/>
        <v>94570.88999999853</v>
      </c>
      <c r="S50" s="46">
        <f t="shared" si="36"/>
        <v>-157739.88000000146</v>
      </c>
      <c r="T50" s="46">
        <f t="shared" si="36"/>
        <v>94570.88999999853</v>
      </c>
      <c r="U50" s="46">
        <f t="shared" si="36"/>
        <v>94570.88999999853</v>
      </c>
      <c r="V50" s="46">
        <f t="shared" si="36"/>
        <v>94570.88999999853</v>
      </c>
      <c r="W50" s="46">
        <f t="shared" si="36"/>
        <v>94570.889999999927</v>
      </c>
      <c r="X50" s="46">
        <f t="shared" si="36"/>
        <v>-157739.88000000006</v>
      </c>
      <c r="Y50" s="46">
        <f t="shared" si="36"/>
        <v>94570.889999999927</v>
      </c>
      <c r="Z50" s="46">
        <f t="shared" si="36"/>
        <v>94570.889999999927</v>
      </c>
      <c r="AA50" s="44">
        <f t="shared" si="36"/>
        <v>94570.889999999694</v>
      </c>
    </row>
    <row r="51" spans="2:27" x14ac:dyDescent="0.2">
      <c r="B51" s="45" t="s">
        <v>253</v>
      </c>
      <c r="C51" s="14">
        <f>SUM(C52:C54)*'Analiza wrażliwości'!$D$27</f>
        <v>0</v>
      </c>
      <c r="D51" s="14">
        <f>SUM(D52:D54)*'Analiza wrażliwości'!$D$27</f>
        <v>0</v>
      </c>
      <c r="E51" s="14">
        <f>SUM(E52:E54)*'Analiza wrażliwości'!$D$27</f>
        <v>178069.95</v>
      </c>
      <c r="F51" s="14">
        <f>SUM(F52:F54)*'Analiza wrażliwości'!$D$27</f>
        <v>178069.95</v>
      </c>
      <c r="G51" s="14">
        <f>SUM(G52:G54)*'Analiza wrażliwości'!$D$27</f>
        <v>178069.95</v>
      </c>
      <c r="H51" s="14">
        <f>SUM(H52:H54)*'Analiza wrażliwości'!$D$27</f>
        <v>178069.95</v>
      </c>
      <c r="I51" s="14">
        <f>SUM(I52:I54)*'Analiza wrażliwości'!$D$27</f>
        <v>178069.95</v>
      </c>
      <c r="J51" s="14">
        <f>SUM(J52:J54)*'Analiza wrażliwości'!$D$27</f>
        <v>178069.95</v>
      </c>
      <c r="K51" s="14">
        <f>SUM(K52:K54)*'Analiza wrażliwości'!$D$27</f>
        <v>178069.95</v>
      </c>
      <c r="L51" s="14">
        <f>SUM(L52:L54)*'Analiza wrażliwości'!$D$27</f>
        <v>178069.95</v>
      </c>
      <c r="M51" s="14">
        <f>SUM(M52:M54)*'Analiza wrażliwości'!$D$27</f>
        <v>178069.95</v>
      </c>
      <c r="N51" s="14">
        <f>SUM(N52:N54)*'Analiza wrażliwości'!$D$27</f>
        <v>178069.95</v>
      </c>
      <c r="O51" s="14">
        <f>SUM(O52:O54)*'Analiza wrażliwości'!$D$27</f>
        <v>178069.95</v>
      </c>
      <c r="P51" s="14">
        <f>SUM(P52:P54)*'Analiza wrażliwości'!$D$27</f>
        <v>178069.95</v>
      </c>
      <c r="Q51" s="14">
        <f>SUM(Q52:Q54)*'Analiza wrażliwości'!$D$27</f>
        <v>178069.95</v>
      </c>
      <c r="R51" s="14">
        <f>SUM(R52:R54)*'Analiza wrażliwości'!$D$27</f>
        <v>178069.95</v>
      </c>
      <c r="S51" s="14">
        <f>SUM(S52:S54)*'Analiza wrażliwości'!$D$27</f>
        <v>178069.95</v>
      </c>
      <c r="T51" s="14">
        <f>SUM(T52:T54)*'Analiza wrażliwości'!$D$27</f>
        <v>178069.95</v>
      </c>
      <c r="U51" s="14">
        <f>SUM(U52:U54)*'Analiza wrażliwości'!$D$27</f>
        <v>178069.95</v>
      </c>
      <c r="V51" s="14">
        <f>SUM(V52:V54)*'Analiza wrażliwości'!$D$27</f>
        <v>178069.95</v>
      </c>
      <c r="W51" s="14">
        <f>SUM(W52:W54)*'Analiza wrażliwości'!$D$27</f>
        <v>178069.95</v>
      </c>
      <c r="X51" s="14">
        <f>SUM(X52:X54)*'Analiza wrażliwości'!$D$27</f>
        <v>178069.95</v>
      </c>
      <c r="Y51" s="14">
        <f>SUM(Y52:Y54)*'Analiza wrażliwości'!$D$27</f>
        <v>178069.95</v>
      </c>
      <c r="Z51" s="14">
        <f>SUM(Z52:Z54)*'Analiza wrażliwości'!$D$27</f>
        <v>178069.95</v>
      </c>
      <c r="AA51" s="15">
        <f>SUM(AA52:AA54)*'Analiza wrażliwości'!$D$27</f>
        <v>178069.95</v>
      </c>
    </row>
    <row r="52" spans="2:27" x14ac:dyDescent="0.2">
      <c r="B52" s="42" t="str">
        <f t="shared" ref="B52:C54" si="37">B29</f>
        <v xml:space="preserve"> - pogorszenie sytuacji finansowej dystrybutorów tradycyjnych paliw energetycznych</v>
      </c>
      <c r="C52" s="43">
        <f t="shared" si="37"/>
        <v>0</v>
      </c>
      <c r="D52" s="43">
        <f t="shared" ref="D52:AA52" si="38">D29</f>
        <v>0</v>
      </c>
      <c r="E52" s="43">
        <f t="shared" si="38"/>
        <v>178069.95</v>
      </c>
      <c r="F52" s="43">
        <f t="shared" si="38"/>
        <v>178069.95</v>
      </c>
      <c r="G52" s="43">
        <f t="shared" si="38"/>
        <v>178069.95</v>
      </c>
      <c r="H52" s="43">
        <f t="shared" si="38"/>
        <v>178069.95</v>
      </c>
      <c r="I52" s="43">
        <f t="shared" si="38"/>
        <v>178069.95</v>
      </c>
      <c r="J52" s="43">
        <f t="shared" si="38"/>
        <v>178069.95</v>
      </c>
      <c r="K52" s="43">
        <f t="shared" si="38"/>
        <v>178069.95</v>
      </c>
      <c r="L52" s="43">
        <f t="shared" si="38"/>
        <v>178069.95</v>
      </c>
      <c r="M52" s="43">
        <f t="shared" si="38"/>
        <v>178069.95</v>
      </c>
      <c r="N52" s="43">
        <f t="shared" si="38"/>
        <v>178069.95</v>
      </c>
      <c r="O52" s="43">
        <f t="shared" si="38"/>
        <v>178069.95</v>
      </c>
      <c r="P52" s="43">
        <f t="shared" si="38"/>
        <v>178069.95</v>
      </c>
      <c r="Q52" s="43">
        <f t="shared" si="38"/>
        <v>178069.95</v>
      </c>
      <c r="R52" s="43">
        <f t="shared" si="38"/>
        <v>178069.95</v>
      </c>
      <c r="S52" s="43">
        <f t="shared" si="38"/>
        <v>178069.95</v>
      </c>
      <c r="T52" s="43">
        <f t="shared" si="38"/>
        <v>178069.95</v>
      </c>
      <c r="U52" s="43">
        <f t="shared" si="38"/>
        <v>178069.95</v>
      </c>
      <c r="V52" s="43">
        <f t="shared" si="38"/>
        <v>178069.95</v>
      </c>
      <c r="W52" s="43">
        <f t="shared" si="38"/>
        <v>178069.95</v>
      </c>
      <c r="X52" s="43">
        <f t="shared" si="38"/>
        <v>178069.95</v>
      </c>
      <c r="Y52" s="43">
        <f t="shared" si="38"/>
        <v>178069.95</v>
      </c>
      <c r="Z52" s="43">
        <f t="shared" si="38"/>
        <v>178069.95</v>
      </c>
      <c r="AA52" s="61">
        <f t="shared" si="38"/>
        <v>178069.95</v>
      </c>
    </row>
    <row r="53" spans="2:27" x14ac:dyDescent="0.2">
      <c r="B53" s="42" t="str">
        <f t="shared" si="37"/>
        <v xml:space="preserve"> - </v>
      </c>
      <c r="C53" s="43">
        <f t="shared" si="37"/>
        <v>0</v>
      </c>
      <c r="D53" s="43">
        <f t="shared" ref="D53:AA53" si="39">D30</f>
        <v>0</v>
      </c>
      <c r="E53" s="43">
        <f t="shared" si="39"/>
        <v>0</v>
      </c>
      <c r="F53" s="43">
        <f t="shared" si="39"/>
        <v>0</v>
      </c>
      <c r="G53" s="43">
        <f t="shared" si="39"/>
        <v>0</v>
      </c>
      <c r="H53" s="43">
        <f t="shared" si="39"/>
        <v>0</v>
      </c>
      <c r="I53" s="43">
        <f t="shared" si="39"/>
        <v>0</v>
      </c>
      <c r="J53" s="43">
        <f t="shared" si="39"/>
        <v>0</v>
      </c>
      <c r="K53" s="43">
        <f t="shared" si="39"/>
        <v>0</v>
      </c>
      <c r="L53" s="43">
        <f t="shared" si="39"/>
        <v>0</v>
      </c>
      <c r="M53" s="43">
        <f t="shared" si="39"/>
        <v>0</v>
      </c>
      <c r="N53" s="43">
        <f t="shared" si="39"/>
        <v>0</v>
      </c>
      <c r="O53" s="43">
        <f t="shared" si="39"/>
        <v>0</v>
      </c>
      <c r="P53" s="43">
        <f t="shared" si="39"/>
        <v>0</v>
      </c>
      <c r="Q53" s="43">
        <f t="shared" si="39"/>
        <v>0</v>
      </c>
      <c r="R53" s="43">
        <f t="shared" si="39"/>
        <v>0</v>
      </c>
      <c r="S53" s="43">
        <f t="shared" si="39"/>
        <v>0</v>
      </c>
      <c r="T53" s="43">
        <f t="shared" si="39"/>
        <v>0</v>
      </c>
      <c r="U53" s="43">
        <f t="shared" si="39"/>
        <v>0</v>
      </c>
      <c r="V53" s="43">
        <f t="shared" si="39"/>
        <v>0</v>
      </c>
      <c r="W53" s="43">
        <f t="shared" si="39"/>
        <v>0</v>
      </c>
      <c r="X53" s="43">
        <f t="shared" si="39"/>
        <v>0</v>
      </c>
      <c r="Y53" s="43">
        <f t="shared" si="39"/>
        <v>0</v>
      </c>
      <c r="Z53" s="43">
        <f t="shared" si="39"/>
        <v>0</v>
      </c>
      <c r="AA53" s="61">
        <f t="shared" si="39"/>
        <v>0</v>
      </c>
    </row>
    <row r="54" spans="2:27" x14ac:dyDescent="0.2">
      <c r="B54" s="42" t="str">
        <f t="shared" si="37"/>
        <v xml:space="preserve"> - </v>
      </c>
      <c r="C54" s="43">
        <f t="shared" si="37"/>
        <v>0</v>
      </c>
      <c r="D54" s="43">
        <f t="shared" ref="D54:AA54" si="40">D31</f>
        <v>0</v>
      </c>
      <c r="E54" s="43">
        <f t="shared" si="40"/>
        <v>0</v>
      </c>
      <c r="F54" s="43">
        <f t="shared" si="40"/>
        <v>0</v>
      </c>
      <c r="G54" s="43">
        <f t="shared" si="40"/>
        <v>0</v>
      </c>
      <c r="H54" s="43">
        <f t="shared" si="40"/>
        <v>0</v>
      </c>
      <c r="I54" s="43">
        <f t="shared" si="40"/>
        <v>0</v>
      </c>
      <c r="J54" s="43">
        <f t="shared" si="40"/>
        <v>0</v>
      </c>
      <c r="K54" s="43">
        <f t="shared" si="40"/>
        <v>0</v>
      </c>
      <c r="L54" s="43">
        <f t="shared" si="40"/>
        <v>0</v>
      </c>
      <c r="M54" s="43">
        <f t="shared" si="40"/>
        <v>0</v>
      </c>
      <c r="N54" s="43">
        <f t="shared" si="40"/>
        <v>0</v>
      </c>
      <c r="O54" s="43">
        <f t="shared" si="40"/>
        <v>0</v>
      </c>
      <c r="P54" s="43">
        <f t="shared" si="40"/>
        <v>0</v>
      </c>
      <c r="Q54" s="43">
        <f t="shared" si="40"/>
        <v>0</v>
      </c>
      <c r="R54" s="43">
        <f t="shared" si="40"/>
        <v>0</v>
      </c>
      <c r="S54" s="43">
        <f t="shared" si="40"/>
        <v>0</v>
      </c>
      <c r="T54" s="43">
        <f t="shared" si="40"/>
        <v>0</v>
      </c>
      <c r="U54" s="43">
        <f t="shared" si="40"/>
        <v>0</v>
      </c>
      <c r="V54" s="43">
        <f t="shared" si="40"/>
        <v>0</v>
      </c>
      <c r="W54" s="43">
        <f t="shared" si="40"/>
        <v>0</v>
      </c>
      <c r="X54" s="43">
        <f t="shared" si="40"/>
        <v>0</v>
      </c>
      <c r="Y54" s="43">
        <f t="shared" si="40"/>
        <v>0</v>
      </c>
      <c r="Z54" s="43">
        <f t="shared" si="40"/>
        <v>0</v>
      </c>
      <c r="AA54" s="61">
        <f t="shared" si="40"/>
        <v>0</v>
      </c>
    </row>
    <row r="55" spans="2:27" x14ac:dyDescent="0.2">
      <c r="B55" s="45" t="s">
        <v>254</v>
      </c>
      <c r="C55" s="14">
        <f>SUM(C56:C58)*'Analiza wrażliwości'!$C$27</f>
        <v>1039.6600000000001</v>
      </c>
      <c r="D55" s="14">
        <f>SUM(D56:D58)*'Analiza wrażliwości'!$C$27</f>
        <v>14498.68</v>
      </c>
      <c r="E55" s="14">
        <f>SUM(E56:E58)*'Analiza wrażliwości'!$C$27</f>
        <v>423315.85</v>
      </c>
      <c r="F55" s="14">
        <f>SUM(F56:F58)*'Analiza wrażliwości'!$C$27</f>
        <v>424347.63</v>
      </c>
      <c r="G55" s="14">
        <f>SUM(G56:G58)*'Analiza wrażliwości'!$C$27</f>
        <v>424347.63</v>
      </c>
      <c r="H55" s="14">
        <f>SUM(H56:H58)*'Analiza wrażliwości'!$C$27</f>
        <v>424347.63</v>
      </c>
      <c r="I55" s="14">
        <f>SUM(I56:I58)*'Analiza wrażliwości'!$C$27</f>
        <v>424347.63</v>
      </c>
      <c r="J55" s="14">
        <f>SUM(J56:J58)*'Analiza wrażliwości'!$C$27</f>
        <v>424347.63</v>
      </c>
      <c r="K55" s="14">
        <f>SUM(K56:K58)*'Analiza wrażliwości'!$C$27</f>
        <v>424347.63</v>
      </c>
      <c r="L55" s="14">
        <f>SUM(L56:L58)*'Analiza wrażliwości'!$C$27</f>
        <v>424347.63</v>
      </c>
      <c r="M55" s="14">
        <f>SUM(M56:M58)*'Analiza wrażliwości'!$C$27</f>
        <v>424347.63</v>
      </c>
      <c r="N55" s="14">
        <f>SUM(N56:N58)*'Analiza wrażliwości'!$C$27</f>
        <v>424347.63</v>
      </c>
      <c r="O55" s="14">
        <f>SUM(O56:O58)*'Analiza wrażliwości'!$C$27</f>
        <v>424347.63</v>
      </c>
      <c r="P55" s="14">
        <f>SUM(P56:P58)*'Analiza wrażliwości'!$C$27</f>
        <v>424347.63</v>
      </c>
      <c r="Q55" s="14">
        <f>SUM(Q56:Q58)*'Analiza wrażliwości'!$C$27</f>
        <v>424347.63</v>
      </c>
      <c r="R55" s="14">
        <f>SUM(R56:R58)*'Analiza wrażliwości'!$C$27</f>
        <v>424347.63</v>
      </c>
      <c r="S55" s="14">
        <f>SUM(S56:S58)*'Analiza wrażliwości'!$C$27</f>
        <v>424347.63</v>
      </c>
      <c r="T55" s="14">
        <f>SUM(T56:T58)*'Analiza wrażliwości'!$C$27</f>
        <v>424347.63</v>
      </c>
      <c r="U55" s="14">
        <f>SUM(U56:U58)*'Analiza wrażliwości'!$C$27</f>
        <v>424347.63</v>
      </c>
      <c r="V55" s="14">
        <f>SUM(V56:V58)*'Analiza wrażliwości'!$C$27</f>
        <v>424347.63</v>
      </c>
      <c r="W55" s="14">
        <f>SUM(W56:W58)*'Analiza wrażliwości'!$C$27</f>
        <v>424347.63</v>
      </c>
      <c r="X55" s="14">
        <f>SUM(X56:X58)*'Analiza wrażliwości'!$C$27</f>
        <v>424347.63</v>
      </c>
      <c r="Y55" s="14">
        <f>SUM(Y56:Y58)*'Analiza wrażliwości'!$C$27</f>
        <v>424347.63</v>
      </c>
      <c r="Z55" s="14">
        <f>SUM(Z56:Z58)*'Analiza wrażliwości'!$C$27</f>
        <v>424347.63</v>
      </c>
      <c r="AA55" s="15">
        <f>SUM(AA56:AA58)*'Analiza wrażliwości'!$C$27</f>
        <v>424347.63</v>
      </c>
    </row>
    <row r="56" spans="2:27" x14ac:dyDescent="0.2">
      <c r="B56" s="42" t="str">
        <f t="shared" ref="B56:C58" si="41">B21</f>
        <v xml:space="preserve"> - spadek emisji gazów cieplarnianych</v>
      </c>
      <c r="C56" s="43">
        <f t="shared" si="41"/>
        <v>1039.6600000000001</v>
      </c>
      <c r="D56" s="43">
        <f t="shared" ref="D56:AA56" si="42">D21</f>
        <v>14498.68</v>
      </c>
      <c r="E56" s="43">
        <f t="shared" si="42"/>
        <v>34815.85</v>
      </c>
      <c r="F56" s="43">
        <f t="shared" si="42"/>
        <v>35847.629999999997</v>
      </c>
      <c r="G56" s="43">
        <f t="shared" si="42"/>
        <v>35847.629999999997</v>
      </c>
      <c r="H56" s="43">
        <f t="shared" si="42"/>
        <v>35847.629999999997</v>
      </c>
      <c r="I56" s="43">
        <f t="shared" si="42"/>
        <v>35847.629999999997</v>
      </c>
      <c r="J56" s="43">
        <f t="shared" si="42"/>
        <v>35847.629999999997</v>
      </c>
      <c r="K56" s="43">
        <f t="shared" si="42"/>
        <v>35847.629999999997</v>
      </c>
      <c r="L56" s="43">
        <f t="shared" si="42"/>
        <v>35847.629999999997</v>
      </c>
      <c r="M56" s="43">
        <f t="shared" si="42"/>
        <v>35847.629999999997</v>
      </c>
      <c r="N56" s="43">
        <f t="shared" si="42"/>
        <v>35847.629999999997</v>
      </c>
      <c r="O56" s="43">
        <f t="shared" si="42"/>
        <v>35847.629999999997</v>
      </c>
      <c r="P56" s="43">
        <f t="shared" si="42"/>
        <v>35847.629999999997</v>
      </c>
      <c r="Q56" s="43">
        <f t="shared" si="42"/>
        <v>35847.629999999997</v>
      </c>
      <c r="R56" s="43">
        <f t="shared" si="42"/>
        <v>35847.629999999997</v>
      </c>
      <c r="S56" s="43">
        <f t="shared" si="42"/>
        <v>35847.629999999997</v>
      </c>
      <c r="T56" s="43">
        <f t="shared" si="42"/>
        <v>35847.629999999997</v>
      </c>
      <c r="U56" s="43">
        <f t="shared" si="42"/>
        <v>35847.629999999997</v>
      </c>
      <c r="V56" s="43">
        <f t="shared" si="42"/>
        <v>35847.629999999997</v>
      </c>
      <c r="W56" s="43">
        <f t="shared" si="42"/>
        <v>35847.629999999997</v>
      </c>
      <c r="X56" s="43">
        <f t="shared" si="42"/>
        <v>35847.629999999997</v>
      </c>
      <c r="Y56" s="43">
        <f t="shared" si="42"/>
        <v>35847.629999999997</v>
      </c>
      <c r="Z56" s="43">
        <f t="shared" si="42"/>
        <v>35847.629999999997</v>
      </c>
      <c r="AA56" s="61">
        <f t="shared" si="42"/>
        <v>35847.629999999997</v>
      </c>
    </row>
    <row r="57" spans="2:27" x14ac:dyDescent="0.2">
      <c r="B57" s="42" t="str">
        <f t="shared" si="41"/>
        <v xml:space="preserve"> - zwiększenie siły nabywczej lokalnej ludności</v>
      </c>
      <c r="C57" s="43">
        <f t="shared" si="41"/>
        <v>0</v>
      </c>
      <c r="D57" s="43">
        <f t="shared" ref="D57:AA57" si="43">D22</f>
        <v>0</v>
      </c>
      <c r="E57" s="43">
        <f t="shared" si="43"/>
        <v>112500</v>
      </c>
      <c r="F57" s="43">
        <f t="shared" si="43"/>
        <v>112500</v>
      </c>
      <c r="G57" s="43">
        <f t="shared" si="43"/>
        <v>112500</v>
      </c>
      <c r="H57" s="43">
        <f t="shared" si="43"/>
        <v>112500</v>
      </c>
      <c r="I57" s="43">
        <f t="shared" si="43"/>
        <v>112500</v>
      </c>
      <c r="J57" s="43">
        <f t="shared" si="43"/>
        <v>112500</v>
      </c>
      <c r="K57" s="43">
        <f t="shared" si="43"/>
        <v>112500</v>
      </c>
      <c r="L57" s="43">
        <f t="shared" si="43"/>
        <v>112500</v>
      </c>
      <c r="M57" s="43">
        <f t="shared" si="43"/>
        <v>112500</v>
      </c>
      <c r="N57" s="43">
        <f t="shared" si="43"/>
        <v>112500</v>
      </c>
      <c r="O57" s="43">
        <f t="shared" si="43"/>
        <v>112500</v>
      </c>
      <c r="P57" s="43">
        <f t="shared" si="43"/>
        <v>112500</v>
      </c>
      <c r="Q57" s="43">
        <f t="shared" si="43"/>
        <v>112500</v>
      </c>
      <c r="R57" s="43">
        <f t="shared" si="43"/>
        <v>112500</v>
      </c>
      <c r="S57" s="43">
        <f t="shared" si="43"/>
        <v>112500</v>
      </c>
      <c r="T57" s="43">
        <f t="shared" si="43"/>
        <v>112500</v>
      </c>
      <c r="U57" s="43">
        <f t="shared" si="43"/>
        <v>112500</v>
      </c>
      <c r="V57" s="43">
        <f t="shared" si="43"/>
        <v>112500</v>
      </c>
      <c r="W57" s="43">
        <f t="shared" si="43"/>
        <v>112500</v>
      </c>
      <c r="X57" s="43">
        <f t="shared" si="43"/>
        <v>112500</v>
      </c>
      <c r="Y57" s="43">
        <f t="shared" si="43"/>
        <v>112500</v>
      </c>
      <c r="Z57" s="43">
        <f t="shared" si="43"/>
        <v>112500</v>
      </c>
      <c r="AA57" s="61">
        <f t="shared" si="43"/>
        <v>112500</v>
      </c>
    </row>
    <row r="58" spans="2:27" x14ac:dyDescent="0.2">
      <c r="B58" s="42" t="str">
        <f t="shared" si="41"/>
        <v xml:space="preserve"> - poprawa stanu zdrowia mieszkańców</v>
      </c>
      <c r="C58" s="43">
        <f t="shared" si="41"/>
        <v>0</v>
      </c>
      <c r="D58" s="43">
        <f t="shared" ref="D58:AA58" si="44">D23</f>
        <v>0</v>
      </c>
      <c r="E58" s="43">
        <f t="shared" si="44"/>
        <v>276000</v>
      </c>
      <c r="F58" s="43">
        <f t="shared" si="44"/>
        <v>276000</v>
      </c>
      <c r="G58" s="43">
        <f t="shared" si="44"/>
        <v>276000</v>
      </c>
      <c r="H58" s="43">
        <f t="shared" si="44"/>
        <v>276000</v>
      </c>
      <c r="I58" s="43">
        <f t="shared" si="44"/>
        <v>276000</v>
      </c>
      <c r="J58" s="43">
        <f t="shared" si="44"/>
        <v>276000</v>
      </c>
      <c r="K58" s="43">
        <f t="shared" si="44"/>
        <v>276000</v>
      </c>
      <c r="L58" s="43">
        <f t="shared" si="44"/>
        <v>276000</v>
      </c>
      <c r="M58" s="43">
        <f t="shared" si="44"/>
        <v>276000</v>
      </c>
      <c r="N58" s="43">
        <f t="shared" si="44"/>
        <v>276000</v>
      </c>
      <c r="O58" s="43">
        <f t="shared" si="44"/>
        <v>276000</v>
      </c>
      <c r="P58" s="43">
        <f t="shared" si="44"/>
        <v>276000</v>
      </c>
      <c r="Q58" s="43">
        <f t="shared" si="44"/>
        <v>276000</v>
      </c>
      <c r="R58" s="43">
        <f t="shared" si="44"/>
        <v>276000</v>
      </c>
      <c r="S58" s="43">
        <f t="shared" si="44"/>
        <v>276000</v>
      </c>
      <c r="T58" s="43">
        <f t="shared" si="44"/>
        <v>276000</v>
      </c>
      <c r="U58" s="43">
        <f t="shared" si="44"/>
        <v>276000</v>
      </c>
      <c r="V58" s="43">
        <f t="shared" si="44"/>
        <v>276000</v>
      </c>
      <c r="W58" s="43">
        <f t="shared" si="44"/>
        <v>276000</v>
      </c>
      <c r="X58" s="43">
        <f t="shared" si="44"/>
        <v>276000</v>
      </c>
      <c r="Y58" s="43">
        <f t="shared" si="44"/>
        <v>276000</v>
      </c>
      <c r="Z58" s="43">
        <f t="shared" si="44"/>
        <v>276000</v>
      </c>
      <c r="AA58" s="61">
        <f t="shared" si="44"/>
        <v>276000</v>
      </c>
    </row>
    <row r="59" spans="2:27" x14ac:dyDescent="0.2">
      <c r="B59" s="45" t="s">
        <v>133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4">
        <f>C36</f>
        <v>2045091.42</v>
      </c>
    </row>
    <row r="60" spans="2:27" x14ac:dyDescent="0.2">
      <c r="B60" s="45" t="s">
        <v>255</v>
      </c>
      <c r="C60" s="46">
        <f>C50-C51+C55+C59</f>
        <v>-796375.34</v>
      </c>
      <c r="D60" s="46">
        <f t="shared" ref="D60:AA60" si="45">D50-D51+D55+D59</f>
        <v>-2635661.3199999998</v>
      </c>
      <c r="E60" s="46">
        <f t="shared" si="45"/>
        <v>375024.20999999798</v>
      </c>
      <c r="F60" s="46">
        <f t="shared" si="45"/>
        <v>376055.98999999801</v>
      </c>
      <c r="G60" s="46">
        <f t="shared" si="45"/>
        <v>376055.98999999801</v>
      </c>
      <c r="H60" s="46">
        <f t="shared" si="45"/>
        <v>376055.98999999941</v>
      </c>
      <c r="I60" s="46">
        <f t="shared" si="45"/>
        <v>123745.21999999939</v>
      </c>
      <c r="J60" s="46">
        <f t="shared" si="45"/>
        <v>340848.57000000135</v>
      </c>
      <c r="K60" s="46">
        <f t="shared" si="45"/>
        <v>340848.57000000135</v>
      </c>
      <c r="L60" s="46">
        <f t="shared" si="45"/>
        <v>340848.57000000135</v>
      </c>
      <c r="M60" s="46">
        <f t="shared" si="45"/>
        <v>340848.57000000088</v>
      </c>
      <c r="N60" s="46">
        <f t="shared" si="45"/>
        <v>88537.800000000861</v>
      </c>
      <c r="O60" s="46">
        <f t="shared" si="45"/>
        <v>340848.57000000088</v>
      </c>
      <c r="P60" s="46">
        <f t="shared" si="45"/>
        <v>340848.57000000088</v>
      </c>
      <c r="Q60" s="46">
        <f t="shared" si="45"/>
        <v>340848.57000000088</v>
      </c>
      <c r="R60" s="46">
        <f t="shared" si="45"/>
        <v>340848.56999999855</v>
      </c>
      <c r="S60" s="46">
        <f t="shared" si="45"/>
        <v>88537.799999998533</v>
      </c>
      <c r="T60" s="46">
        <f t="shared" si="45"/>
        <v>340848.56999999855</v>
      </c>
      <c r="U60" s="46">
        <f t="shared" si="45"/>
        <v>340848.56999999855</v>
      </c>
      <c r="V60" s="46">
        <f t="shared" si="45"/>
        <v>340848.56999999855</v>
      </c>
      <c r="W60" s="46">
        <f t="shared" si="45"/>
        <v>340848.56999999995</v>
      </c>
      <c r="X60" s="46">
        <f t="shared" si="45"/>
        <v>88537.79999999993</v>
      </c>
      <c r="Y60" s="46">
        <f t="shared" si="45"/>
        <v>340848.56999999995</v>
      </c>
      <c r="Z60" s="46">
        <f t="shared" si="45"/>
        <v>340848.56999999995</v>
      </c>
      <c r="AA60" s="44">
        <f t="shared" si="45"/>
        <v>2385939.9899999998</v>
      </c>
    </row>
    <row r="61" spans="2:27" x14ac:dyDescent="0.2">
      <c r="B61" s="45" t="s">
        <v>256</v>
      </c>
      <c r="C61" s="46">
        <f>NPV(sd_ae,D60:AA60)+C60</f>
        <v>1308502.6157980519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</row>
    <row r="62" spans="2:27" x14ac:dyDescent="0.2">
      <c r="B62" s="45" t="s">
        <v>257</v>
      </c>
      <c r="C62" s="124">
        <f>IRR(C60:AA60)</f>
        <v>8.3221310213569932E-2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</row>
    <row r="63" spans="2:27" x14ac:dyDescent="0.2">
      <c r="B63" s="95" t="s">
        <v>258</v>
      </c>
      <c r="C63" s="130">
        <f>ROUND((NPV(sd_ae,D55:AA55)+C55)/(NPV(sd_ae,D51:AA51)+C51),2)</f>
        <v>2.39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8"/>
  <sheetViews>
    <sheetView zoomScaleNormal="100" workbookViewId="0">
      <selection activeCell="C28" sqref="C28"/>
    </sheetView>
  </sheetViews>
  <sheetFormatPr defaultRowHeight="12" x14ac:dyDescent="0.2"/>
  <cols>
    <col min="2" max="2" width="24.5" bestFit="1" customWidth="1"/>
    <col min="3" max="3" width="13.83203125" customWidth="1"/>
    <col min="4" max="4" width="14.5" customWidth="1"/>
    <col min="5" max="5" width="11.5" customWidth="1"/>
  </cols>
  <sheetData>
    <row r="4" spans="1:5" x14ac:dyDescent="0.2">
      <c r="A4" s="7" t="s">
        <v>260</v>
      </c>
      <c r="B4" s="7" t="s">
        <v>271</v>
      </c>
    </row>
    <row r="5" spans="1:5" ht="33.75" x14ac:dyDescent="0.2">
      <c r="B5" s="145" t="s">
        <v>263</v>
      </c>
      <c r="C5" s="86" t="s">
        <v>0</v>
      </c>
      <c r="D5" s="86" t="s">
        <v>261</v>
      </c>
      <c r="E5" s="90" t="s">
        <v>262</v>
      </c>
    </row>
    <row r="6" spans="1:5" x14ac:dyDescent="0.2">
      <c r="B6" s="146"/>
      <c r="C6" s="132">
        <v>1</v>
      </c>
      <c r="D6" s="132">
        <v>1</v>
      </c>
      <c r="E6" s="133">
        <v>1</v>
      </c>
    </row>
    <row r="7" spans="1:5" x14ac:dyDescent="0.2">
      <c r="B7" s="131" t="s">
        <v>267</v>
      </c>
      <c r="C7" s="119">
        <f>'Analiza finansowa'!C426</f>
        <v>-403839.42089503387</v>
      </c>
      <c r="D7" s="73"/>
      <c r="E7" s="74"/>
    </row>
    <row r="8" spans="1:5" x14ac:dyDescent="0.2">
      <c r="B8" s="1"/>
    </row>
    <row r="9" spans="1:5" x14ac:dyDescent="0.2">
      <c r="B9" s="147" t="s">
        <v>272</v>
      </c>
      <c r="C9" s="148"/>
      <c r="D9" s="148"/>
      <c r="E9" s="149"/>
    </row>
    <row r="10" spans="1:5" x14ac:dyDescent="0.2">
      <c r="B10" s="45" t="s">
        <v>0</v>
      </c>
      <c r="C10" s="104" t="s">
        <v>267</v>
      </c>
      <c r="D10" s="104" t="s">
        <v>269</v>
      </c>
      <c r="E10" s="137" t="s">
        <v>273</v>
      </c>
    </row>
    <row r="11" spans="1:5" x14ac:dyDescent="0.2">
      <c r="B11" s="134" t="s">
        <v>264</v>
      </c>
      <c r="C11" s="43">
        <v>-1226868.2801258033</v>
      </c>
      <c r="D11" s="49">
        <f>(C11-C12)/C12</f>
        <v>2.0380102007047287</v>
      </c>
      <c r="E11" s="48"/>
    </row>
    <row r="12" spans="1:5" x14ac:dyDescent="0.2">
      <c r="B12" s="134" t="s">
        <v>265</v>
      </c>
      <c r="C12" s="43">
        <v>-403839.42089503387</v>
      </c>
      <c r="D12" s="136"/>
      <c r="E12" s="138"/>
    </row>
    <row r="13" spans="1:5" x14ac:dyDescent="0.2">
      <c r="B13" s="134" t="s">
        <v>266</v>
      </c>
      <c r="C13" s="43">
        <v>419189.43833573454</v>
      </c>
      <c r="D13" s="49">
        <f>(C13-C12)/C12</f>
        <v>-2.0380102007047265</v>
      </c>
      <c r="E13" s="48"/>
    </row>
    <row r="14" spans="1:5" x14ac:dyDescent="0.2">
      <c r="B14" s="45" t="s">
        <v>261</v>
      </c>
      <c r="C14" s="104" t="s">
        <v>267</v>
      </c>
      <c r="D14" s="104" t="s">
        <v>269</v>
      </c>
      <c r="E14" s="48"/>
    </row>
    <row r="15" spans="1:5" x14ac:dyDescent="0.2">
      <c r="B15" s="134" t="s">
        <v>264</v>
      </c>
      <c r="C15" s="43">
        <v>-515493.75689594034</v>
      </c>
      <c r="D15" s="49">
        <f>(C15-C16)/C16</f>
        <v>0.27648201295813496</v>
      </c>
      <c r="E15" s="48"/>
    </row>
    <row r="16" spans="1:5" x14ac:dyDescent="0.2">
      <c r="B16" s="134" t="s">
        <v>265</v>
      </c>
      <c r="C16" s="43">
        <f>C12</f>
        <v>-403839.42089503387</v>
      </c>
      <c r="D16" s="136"/>
      <c r="E16" s="138"/>
    </row>
    <row r="17" spans="1:5" x14ac:dyDescent="0.2">
      <c r="B17" s="134" t="s">
        <v>266</v>
      </c>
      <c r="C17" s="43">
        <v>-292185.08489413862</v>
      </c>
      <c r="D17" s="49">
        <f>(C17-C16)/C16</f>
        <v>-0.27648201295810715</v>
      </c>
      <c r="E17" s="48"/>
    </row>
    <row r="18" spans="1:5" x14ac:dyDescent="0.2">
      <c r="B18" s="45" t="s">
        <v>270</v>
      </c>
      <c r="C18" s="104" t="s">
        <v>267</v>
      </c>
      <c r="D18" s="104" t="s">
        <v>269</v>
      </c>
      <c r="E18" s="48"/>
    </row>
    <row r="19" spans="1:5" x14ac:dyDescent="0.2">
      <c r="B19" s="134" t="s">
        <v>264</v>
      </c>
      <c r="C19" s="43">
        <v>552384.18708547554</v>
      </c>
      <c r="D19" s="49">
        <f>(C19-C20)/C20</f>
        <v>-2.3678312678371523</v>
      </c>
      <c r="E19" s="48"/>
    </row>
    <row r="20" spans="1:5" x14ac:dyDescent="0.2">
      <c r="B20" s="134" t="s">
        <v>265</v>
      </c>
      <c r="C20" s="43">
        <f>C12</f>
        <v>-403839.42089503387</v>
      </c>
      <c r="D20" s="136"/>
      <c r="E20" s="138"/>
    </row>
    <row r="21" spans="1:5" x14ac:dyDescent="0.2">
      <c r="B21" s="135" t="s">
        <v>266</v>
      </c>
      <c r="C21" s="76">
        <v>-1360063.0288755512</v>
      </c>
      <c r="D21" s="52">
        <f>(C21-C20)/C20</f>
        <v>2.3678312678371718</v>
      </c>
      <c r="E21" s="74"/>
    </row>
    <row r="25" spans="1:5" x14ac:dyDescent="0.2">
      <c r="A25" s="7" t="s">
        <v>277</v>
      </c>
      <c r="B25" s="7" t="s">
        <v>274</v>
      </c>
    </row>
    <row r="26" spans="1:5" ht="22.5" x14ac:dyDescent="0.2">
      <c r="B26" s="145" t="s">
        <v>263</v>
      </c>
      <c r="C26" s="86" t="s">
        <v>275</v>
      </c>
      <c r="D26" s="90" t="s">
        <v>276</v>
      </c>
    </row>
    <row r="27" spans="1:5" x14ac:dyDescent="0.2">
      <c r="B27" s="146"/>
      <c r="C27" s="132">
        <v>1</v>
      </c>
      <c r="D27" s="133">
        <v>1</v>
      </c>
    </row>
    <row r="28" spans="1:5" x14ac:dyDescent="0.2">
      <c r="B28" s="131" t="s">
        <v>268</v>
      </c>
      <c r="C28" s="139">
        <f>'Analiza ekonomiczna'!C61</f>
        <v>1308502.6157980519</v>
      </c>
      <c r="D28" s="74"/>
    </row>
    <row r="29" spans="1:5" x14ac:dyDescent="0.2">
      <c r="B29" s="1"/>
    </row>
    <row r="30" spans="1:5" x14ac:dyDescent="0.2">
      <c r="B30" s="147" t="s">
        <v>272</v>
      </c>
      <c r="C30" s="148"/>
      <c r="D30" s="148"/>
      <c r="E30" s="149"/>
    </row>
    <row r="31" spans="1:5" x14ac:dyDescent="0.2">
      <c r="B31" s="45" t="s">
        <v>254</v>
      </c>
      <c r="C31" s="104" t="s">
        <v>268</v>
      </c>
      <c r="D31" s="104" t="s">
        <v>269</v>
      </c>
      <c r="E31" s="137" t="s">
        <v>273</v>
      </c>
    </row>
    <row r="32" spans="1:5" x14ac:dyDescent="0.2">
      <c r="B32" s="134" t="s">
        <v>264</v>
      </c>
      <c r="C32" s="43">
        <v>3143537.8879411807</v>
      </c>
      <c r="D32" s="49">
        <f>(C32-C33)/C33</f>
        <v>0.66095605173291883</v>
      </c>
      <c r="E32" s="48"/>
    </row>
    <row r="33" spans="2:5" x14ac:dyDescent="0.2">
      <c r="B33" s="134" t="s">
        <v>265</v>
      </c>
      <c r="C33" s="43">
        <v>1892607.5043716212</v>
      </c>
      <c r="D33" s="136"/>
      <c r="E33" s="138"/>
    </row>
    <row r="34" spans="2:5" x14ac:dyDescent="0.2">
      <c r="B34" s="134" t="s">
        <v>266</v>
      </c>
      <c r="C34" s="43">
        <v>641677.12080206012</v>
      </c>
      <c r="D34" s="49">
        <f>(C34-C33)/C33</f>
        <v>-0.66095605173291949</v>
      </c>
      <c r="E34" s="48"/>
    </row>
    <row r="35" spans="2:5" x14ac:dyDescent="0.2">
      <c r="B35" s="45" t="s">
        <v>253</v>
      </c>
      <c r="C35" s="104" t="s">
        <v>268</v>
      </c>
      <c r="D35" s="104" t="s">
        <v>269</v>
      </c>
      <c r="E35" s="48"/>
    </row>
    <row r="36" spans="2:5" x14ac:dyDescent="0.2">
      <c r="B36" s="134" t="s">
        <v>264</v>
      </c>
      <c r="C36" s="43">
        <v>1368844.3664716873</v>
      </c>
      <c r="D36" s="49">
        <f>(C36-C37)/C37</f>
        <v>-0.27674155190134492</v>
      </c>
      <c r="E36" s="48"/>
    </row>
    <row r="37" spans="2:5" x14ac:dyDescent="0.2">
      <c r="B37" s="134" t="s">
        <v>265</v>
      </c>
      <c r="C37" s="43">
        <f>C33</f>
        <v>1892607.5043716212</v>
      </c>
      <c r="D37" s="136"/>
      <c r="E37" s="138"/>
    </row>
    <row r="38" spans="2:5" x14ac:dyDescent="0.2">
      <c r="B38" s="135" t="s">
        <v>266</v>
      </c>
      <c r="C38" s="76">
        <v>2416370.6422715541</v>
      </c>
      <c r="D38" s="52">
        <f>(C38-C37)/C37</f>
        <v>0.27674155190134442</v>
      </c>
      <c r="E38" s="74"/>
    </row>
  </sheetData>
  <mergeCells count="4">
    <mergeCell ref="B5:B6"/>
    <mergeCell ref="B9:E9"/>
    <mergeCell ref="B26:B27"/>
    <mergeCell ref="B30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Analiza finansowa</vt:lpstr>
      <vt:lpstr>Analiza ekonomiczna</vt:lpstr>
      <vt:lpstr>Analiza wrażliwości</vt:lpstr>
      <vt:lpstr>amortyzacja</vt:lpstr>
      <vt:lpstr>sd_ae</vt:lpstr>
      <vt:lpstr>sd_af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2016-08-22T21:55:50Z</dcterms:created>
  <dcterms:modified xsi:type="dcterms:W3CDTF">2016-08-24T23:28:54Z</dcterms:modified>
</cp:coreProperties>
</file>