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/>
  <bookViews>
    <workbookView xWindow="0" yWindow="0" windowWidth="28800" windowHeight="12405" tabRatio="511" activeTab="2"/>
  </bookViews>
  <sheets>
    <sheet name="Analiza finansowa" sheetId="1" r:id="rId1"/>
    <sheet name="Analiza ekonomiczna" sheetId="2" r:id="rId2"/>
    <sheet name="Analiza wrażliwości" sheetId="3" r:id="rId3"/>
  </sheets>
  <definedNames>
    <definedName name="am_u1">'Analiza finansowa'!$C$7</definedName>
    <definedName name="am_u2">'Analiza finansowa'!$C$8</definedName>
    <definedName name="am_wnip">'Analiza finansowa'!$C$9</definedName>
    <definedName name="amortyzacja">'Analiza finansowa'!$C$6</definedName>
    <definedName name="sd_ae">'Analiza finansowa'!$C$5</definedName>
    <definedName name="sd_af">'Analiza finansowa'!$C$4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D36" i="3"/>
  <c r="D34" i="3"/>
  <c r="D32" i="3"/>
  <c r="E14" i="2"/>
  <c r="F14" i="2" s="1"/>
  <c r="E6" i="2"/>
  <c r="F6" i="2"/>
  <c r="G6" i="2" s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D21" i="3"/>
  <c r="D19" i="3"/>
  <c r="D17" i="3"/>
  <c r="D15" i="3"/>
  <c r="D13" i="3"/>
  <c r="D11" i="3"/>
  <c r="E442" i="1"/>
  <c r="F442" i="1"/>
  <c r="G442" i="1"/>
  <c r="G460" i="1" s="1"/>
  <c r="H442" i="1"/>
  <c r="H460" i="1" s="1"/>
  <c r="I442" i="1"/>
  <c r="J442" i="1"/>
  <c r="K442" i="1"/>
  <c r="K460" i="1" s="1"/>
  <c r="L442" i="1"/>
  <c r="L460" i="1" s="1"/>
  <c r="M442" i="1"/>
  <c r="N442" i="1"/>
  <c r="O442" i="1"/>
  <c r="O460" i="1" s="1"/>
  <c r="P442" i="1"/>
  <c r="P460" i="1" s="1"/>
  <c r="Q442" i="1"/>
  <c r="E446" i="1"/>
  <c r="D446" i="1"/>
  <c r="C446" i="1"/>
  <c r="E35" i="2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C420" i="1"/>
  <c r="D33" i="2"/>
  <c r="C33" i="2"/>
  <c r="D29" i="2"/>
  <c r="C29" i="2"/>
  <c r="D34" i="2"/>
  <c r="D35" i="2"/>
  <c r="C35" i="2"/>
  <c r="C34" i="2"/>
  <c r="D30" i="2"/>
  <c r="R30" i="2"/>
  <c r="C30" i="2"/>
  <c r="E30" i="2"/>
  <c r="E29" i="2" s="1"/>
  <c r="F407" i="1"/>
  <c r="G407" i="1"/>
  <c r="H407" i="1"/>
  <c r="I407" i="1"/>
  <c r="J407" i="1"/>
  <c r="K407" i="1"/>
  <c r="L407" i="1"/>
  <c r="M407" i="1"/>
  <c r="N407" i="1"/>
  <c r="O407" i="1"/>
  <c r="P407" i="1"/>
  <c r="Q407" i="1"/>
  <c r="E407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E369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K199" i="1"/>
  <c r="I200" i="1"/>
  <c r="R201" i="1"/>
  <c r="R200" i="1"/>
  <c r="R199" i="1"/>
  <c r="H198" i="1"/>
  <c r="I198" i="1"/>
  <c r="J198" i="1" s="1"/>
  <c r="K198" i="1" s="1"/>
  <c r="L198" i="1" s="1"/>
  <c r="M198" i="1" s="1"/>
  <c r="N198" i="1" s="1"/>
  <c r="O198" i="1" s="1"/>
  <c r="P198" i="1" s="1"/>
  <c r="Q198" i="1" s="1"/>
  <c r="H199" i="1"/>
  <c r="I199" i="1"/>
  <c r="J199" i="1" s="1"/>
  <c r="H200" i="1"/>
  <c r="G199" i="1"/>
  <c r="G200" i="1"/>
  <c r="G201" i="1"/>
  <c r="G198" i="1"/>
  <c r="F199" i="1"/>
  <c r="F200" i="1"/>
  <c r="F201" i="1"/>
  <c r="E201" i="1"/>
  <c r="E200" i="1"/>
  <c r="E199" i="1"/>
  <c r="F198" i="1"/>
  <c r="E198" i="1"/>
  <c r="C198" i="1"/>
  <c r="C201" i="1"/>
  <c r="C200" i="1"/>
  <c r="C199" i="1"/>
  <c r="C466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D460" i="1"/>
  <c r="E460" i="1"/>
  <c r="F460" i="1"/>
  <c r="I460" i="1"/>
  <c r="J460" i="1"/>
  <c r="M460" i="1"/>
  <c r="N460" i="1"/>
  <c r="Q460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C462" i="1"/>
  <c r="C460" i="1"/>
  <c r="D448" i="1"/>
  <c r="E448" i="1"/>
  <c r="F448" i="1"/>
  <c r="G448" i="1"/>
  <c r="H448" i="1"/>
  <c r="I448" i="1"/>
  <c r="K448" i="1"/>
  <c r="L448" i="1"/>
  <c r="M448" i="1"/>
  <c r="N448" i="1"/>
  <c r="P448" i="1"/>
  <c r="Q448" i="1"/>
  <c r="C448" i="1"/>
  <c r="D442" i="1"/>
  <c r="C442" i="1"/>
  <c r="C427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C423" i="1"/>
  <c r="C424" i="1"/>
  <c r="C422" i="1"/>
  <c r="D417" i="1"/>
  <c r="E417" i="1"/>
  <c r="C417" i="1"/>
  <c r="F412" i="1"/>
  <c r="G412" i="1"/>
  <c r="H412" i="1"/>
  <c r="I412" i="1"/>
  <c r="K412" i="1"/>
  <c r="L412" i="1"/>
  <c r="M412" i="1"/>
  <c r="N412" i="1"/>
  <c r="P412" i="1"/>
  <c r="Q412" i="1"/>
  <c r="C389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C386" i="1"/>
  <c r="C385" i="1"/>
  <c r="C384" i="1"/>
  <c r="D379" i="1"/>
  <c r="E379" i="1"/>
  <c r="C379" i="1"/>
  <c r="F374" i="1"/>
  <c r="G374" i="1"/>
  <c r="H374" i="1"/>
  <c r="I374" i="1"/>
  <c r="K374" i="1"/>
  <c r="L374" i="1"/>
  <c r="M374" i="1"/>
  <c r="N374" i="1"/>
  <c r="P374" i="1"/>
  <c r="Q374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C28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C259" i="1"/>
  <c r="E229" i="1"/>
  <c r="F229" i="1" s="1"/>
  <c r="G229" i="1" s="1"/>
  <c r="H229" i="1" s="1"/>
  <c r="I229" i="1" s="1"/>
  <c r="J229" i="1" s="1"/>
  <c r="K229" i="1" s="1"/>
  <c r="L229" i="1" s="1"/>
  <c r="M229" i="1" s="1"/>
  <c r="N229" i="1" s="1"/>
  <c r="O229" i="1" s="1"/>
  <c r="P229" i="1" s="1"/>
  <c r="Q229" i="1" s="1"/>
  <c r="D229" i="1"/>
  <c r="C230" i="1"/>
  <c r="D230" i="1" s="1"/>
  <c r="E230" i="1" s="1"/>
  <c r="F230" i="1" s="1"/>
  <c r="G230" i="1" s="1"/>
  <c r="H230" i="1" s="1"/>
  <c r="I230" i="1" s="1"/>
  <c r="J230" i="1" s="1"/>
  <c r="K230" i="1" s="1"/>
  <c r="L230" i="1" s="1"/>
  <c r="M230" i="1" s="1"/>
  <c r="N230" i="1" s="1"/>
  <c r="O230" i="1" s="1"/>
  <c r="P230" i="1" s="1"/>
  <c r="Q230" i="1" s="1"/>
  <c r="C231" i="1"/>
  <c r="C323" i="1" s="1"/>
  <c r="C232" i="1"/>
  <c r="C262" i="1" s="1"/>
  <c r="C292" i="1" s="1"/>
  <c r="C233" i="1"/>
  <c r="C263" i="1" s="1"/>
  <c r="C293" i="1" s="1"/>
  <c r="C234" i="1"/>
  <c r="C264" i="1" s="1"/>
  <c r="C294" i="1" s="1"/>
  <c r="C235" i="1"/>
  <c r="D235" i="1" s="1"/>
  <c r="C236" i="1"/>
  <c r="C266" i="1" s="1"/>
  <c r="C296" i="1" s="1"/>
  <c r="C237" i="1"/>
  <c r="C267" i="1" s="1"/>
  <c r="C297" i="1" s="1"/>
  <c r="C238" i="1"/>
  <c r="C268" i="1" s="1"/>
  <c r="C298" i="1" s="1"/>
  <c r="C239" i="1"/>
  <c r="D239" i="1" s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O239" i="1" s="1"/>
  <c r="P239" i="1" s="1"/>
  <c r="Q239" i="1" s="1"/>
  <c r="C240" i="1"/>
  <c r="D240" i="1" s="1"/>
  <c r="E240" i="1" s="1"/>
  <c r="F240" i="1" s="1"/>
  <c r="G240" i="1" s="1"/>
  <c r="H240" i="1" s="1"/>
  <c r="I240" i="1" s="1"/>
  <c r="J240" i="1" s="1"/>
  <c r="K240" i="1" s="1"/>
  <c r="L240" i="1" s="1"/>
  <c r="M240" i="1" s="1"/>
  <c r="N240" i="1" s="1"/>
  <c r="O240" i="1" s="1"/>
  <c r="P240" i="1" s="1"/>
  <c r="Q240" i="1" s="1"/>
  <c r="C241" i="1"/>
  <c r="C271" i="1" s="1"/>
  <c r="C301" i="1" s="1"/>
  <c r="C242" i="1"/>
  <c r="C272" i="1" s="1"/>
  <c r="C302" i="1" s="1"/>
  <c r="C243" i="1"/>
  <c r="C273" i="1" s="1"/>
  <c r="C303" i="1" s="1"/>
  <c r="C244" i="1"/>
  <c r="C274" i="1" s="1"/>
  <c r="C304" i="1" s="1"/>
  <c r="C245" i="1"/>
  <c r="D245" i="1" s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P245" i="1" s="1"/>
  <c r="Q245" i="1" s="1"/>
  <c r="C246" i="1"/>
  <c r="C276" i="1" s="1"/>
  <c r="C306" i="1" s="1"/>
  <c r="C247" i="1"/>
  <c r="C248" i="1"/>
  <c r="D248" i="1" s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O248" i="1" s="1"/>
  <c r="P248" i="1" s="1"/>
  <c r="Q248" i="1" s="1"/>
  <c r="C249" i="1"/>
  <c r="C279" i="1" s="1"/>
  <c r="C309" i="1" s="1"/>
  <c r="C250" i="1"/>
  <c r="D250" i="1" s="1"/>
  <c r="E250" i="1" s="1"/>
  <c r="F250" i="1" s="1"/>
  <c r="G250" i="1" s="1"/>
  <c r="H250" i="1" s="1"/>
  <c r="I250" i="1" s="1"/>
  <c r="J250" i="1" s="1"/>
  <c r="K250" i="1" s="1"/>
  <c r="L250" i="1" s="1"/>
  <c r="M250" i="1" s="1"/>
  <c r="N250" i="1" s="1"/>
  <c r="O250" i="1" s="1"/>
  <c r="P250" i="1" s="1"/>
  <c r="Q250" i="1" s="1"/>
  <c r="C251" i="1"/>
  <c r="D251" i="1" s="1"/>
  <c r="E251" i="1" s="1"/>
  <c r="F251" i="1" s="1"/>
  <c r="G251" i="1" s="1"/>
  <c r="H251" i="1" s="1"/>
  <c r="I251" i="1" s="1"/>
  <c r="J251" i="1" s="1"/>
  <c r="K251" i="1" s="1"/>
  <c r="L251" i="1" s="1"/>
  <c r="M251" i="1" s="1"/>
  <c r="N251" i="1" s="1"/>
  <c r="O251" i="1" s="1"/>
  <c r="P251" i="1" s="1"/>
  <c r="Q251" i="1" s="1"/>
  <c r="C252" i="1"/>
  <c r="C282" i="1" s="1"/>
  <c r="C312" i="1" s="1"/>
  <c r="C253" i="1"/>
  <c r="C321" i="1" s="1"/>
  <c r="C22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C223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D485" i="1"/>
  <c r="C485" i="1"/>
  <c r="C484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H481" i="1"/>
  <c r="I481" i="1"/>
  <c r="J481" i="1"/>
  <c r="K481" i="1"/>
  <c r="L481" i="1"/>
  <c r="M481" i="1"/>
  <c r="N481" i="1"/>
  <c r="O481" i="1"/>
  <c r="P481" i="1"/>
  <c r="Q481" i="1"/>
  <c r="E482" i="1"/>
  <c r="F482" i="1" s="1"/>
  <c r="G482" i="1" s="1"/>
  <c r="H482" i="1" s="1"/>
  <c r="I482" i="1" s="1"/>
  <c r="J482" i="1" s="1"/>
  <c r="K482" i="1" s="1"/>
  <c r="L482" i="1" s="1"/>
  <c r="M482" i="1" s="1"/>
  <c r="N482" i="1" s="1"/>
  <c r="O482" i="1" s="1"/>
  <c r="P482" i="1" s="1"/>
  <c r="Q482" i="1" s="1"/>
  <c r="D482" i="1"/>
  <c r="C482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G216" i="1"/>
  <c r="H216" i="1" s="1"/>
  <c r="I216" i="1" s="1"/>
  <c r="J216" i="1" s="1"/>
  <c r="K216" i="1" s="1"/>
  <c r="L216" i="1" s="1"/>
  <c r="M216" i="1" s="1"/>
  <c r="N216" i="1" s="1"/>
  <c r="O216" i="1" s="1"/>
  <c r="P216" i="1" s="1"/>
  <c r="Q216" i="1" s="1"/>
  <c r="G217" i="1"/>
  <c r="H217" i="1" s="1"/>
  <c r="I217" i="1" s="1"/>
  <c r="J217" i="1" s="1"/>
  <c r="K217" i="1" s="1"/>
  <c r="L217" i="1" s="1"/>
  <c r="M217" i="1" s="1"/>
  <c r="N217" i="1" s="1"/>
  <c r="O217" i="1" s="1"/>
  <c r="P217" i="1" s="1"/>
  <c r="Q217" i="1" s="1"/>
  <c r="G218" i="1"/>
  <c r="H218" i="1"/>
  <c r="I218" i="1" s="1"/>
  <c r="J218" i="1" s="1"/>
  <c r="K218" i="1" s="1"/>
  <c r="L218" i="1" s="1"/>
  <c r="M218" i="1" s="1"/>
  <c r="N218" i="1" s="1"/>
  <c r="O218" i="1" s="1"/>
  <c r="P218" i="1" s="1"/>
  <c r="Q218" i="1" s="1"/>
  <c r="G219" i="1"/>
  <c r="H219" i="1" s="1"/>
  <c r="I219" i="1" s="1"/>
  <c r="J219" i="1" s="1"/>
  <c r="K219" i="1" s="1"/>
  <c r="L219" i="1" s="1"/>
  <c r="M219" i="1" s="1"/>
  <c r="N219" i="1" s="1"/>
  <c r="O219" i="1" s="1"/>
  <c r="P219" i="1" s="1"/>
  <c r="Q219" i="1" s="1"/>
  <c r="G220" i="1"/>
  <c r="H220" i="1"/>
  <c r="I220" i="1" s="1"/>
  <c r="J220" i="1" s="1"/>
  <c r="K220" i="1" s="1"/>
  <c r="L220" i="1" s="1"/>
  <c r="M220" i="1" s="1"/>
  <c r="N220" i="1" s="1"/>
  <c r="O220" i="1" s="1"/>
  <c r="P220" i="1" s="1"/>
  <c r="Q220" i="1" s="1"/>
  <c r="G221" i="1"/>
  <c r="H221" i="1" s="1"/>
  <c r="I221" i="1" s="1"/>
  <c r="J221" i="1" s="1"/>
  <c r="K221" i="1" s="1"/>
  <c r="L221" i="1" s="1"/>
  <c r="M221" i="1" s="1"/>
  <c r="N221" i="1" s="1"/>
  <c r="O221" i="1" s="1"/>
  <c r="P221" i="1" s="1"/>
  <c r="Q221" i="1" s="1"/>
  <c r="F217" i="1"/>
  <c r="F218" i="1"/>
  <c r="F219" i="1"/>
  <c r="F220" i="1"/>
  <c r="F221" i="1"/>
  <c r="F216" i="1"/>
  <c r="E220" i="1"/>
  <c r="J166" i="1"/>
  <c r="K166" i="1"/>
  <c r="L166" i="1"/>
  <c r="M166" i="1"/>
  <c r="N166" i="1"/>
  <c r="O166" i="1"/>
  <c r="P166" i="1"/>
  <c r="Q166" i="1"/>
  <c r="G174" i="1"/>
  <c r="H174" i="1"/>
  <c r="I174" i="1"/>
  <c r="J174" i="1"/>
  <c r="K174" i="1"/>
  <c r="F174" i="1"/>
  <c r="E174" i="1"/>
  <c r="E188" i="1"/>
  <c r="E181" i="1"/>
  <c r="H160" i="1"/>
  <c r="I160" i="1"/>
  <c r="J160" i="1" s="1"/>
  <c r="K160" i="1" s="1"/>
  <c r="L160" i="1" s="1"/>
  <c r="M160" i="1" s="1"/>
  <c r="N160" i="1" s="1"/>
  <c r="O160" i="1" s="1"/>
  <c r="P160" i="1" s="1"/>
  <c r="Q160" i="1" s="1"/>
  <c r="G160" i="1"/>
  <c r="I45" i="2"/>
  <c r="I44" i="2"/>
  <c r="G14" i="2" l="1"/>
  <c r="F30" i="2"/>
  <c r="F29" i="2" s="1"/>
  <c r="E34" i="2"/>
  <c r="E33" i="2" s="1"/>
  <c r="F34" i="2"/>
  <c r="C464" i="1"/>
  <c r="F7" i="2"/>
  <c r="H6" i="2"/>
  <c r="I6" i="2" s="1"/>
  <c r="G34" i="2"/>
  <c r="D265" i="1"/>
  <c r="D295" i="1" s="1"/>
  <c r="E235" i="1"/>
  <c r="C347" i="1"/>
  <c r="C277" i="1"/>
  <c r="C307" i="1" s="1"/>
  <c r="D252" i="1"/>
  <c r="D244" i="1"/>
  <c r="D236" i="1"/>
  <c r="D232" i="1"/>
  <c r="C265" i="1"/>
  <c r="C295" i="1" s="1"/>
  <c r="D247" i="1"/>
  <c r="D243" i="1"/>
  <c r="D231" i="1"/>
  <c r="D246" i="1"/>
  <c r="D242" i="1"/>
  <c r="D238" i="1"/>
  <c r="D234" i="1"/>
  <c r="C261" i="1"/>
  <c r="D253" i="1"/>
  <c r="D249" i="1"/>
  <c r="D241" i="1"/>
  <c r="D237" i="1"/>
  <c r="D233" i="1"/>
  <c r="H140" i="1"/>
  <c r="G140" i="1"/>
  <c r="G139" i="1"/>
  <c r="H136" i="1"/>
  <c r="I136" i="1"/>
  <c r="H135" i="1"/>
  <c r="I135" i="1"/>
  <c r="G135" i="1"/>
  <c r="J132" i="1"/>
  <c r="K132" i="1" s="1"/>
  <c r="L132" i="1" s="1"/>
  <c r="M132" i="1" s="1"/>
  <c r="N132" i="1" s="1"/>
  <c r="O132" i="1" s="1"/>
  <c r="P132" i="1" s="1"/>
  <c r="Q132" i="1" s="1"/>
  <c r="R132" i="1" s="1"/>
  <c r="S132" i="1" s="1"/>
  <c r="S136" i="1" s="1"/>
  <c r="I132" i="1"/>
  <c r="I140" i="1" s="1"/>
  <c r="G132" i="1"/>
  <c r="J131" i="1"/>
  <c r="J135" i="1" s="1"/>
  <c r="K131" i="1"/>
  <c r="L131" i="1" s="1"/>
  <c r="M131" i="1" s="1"/>
  <c r="N131" i="1" s="1"/>
  <c r="O131" i="1" s="1"/>
  <c r="P131" i="1" s="1"/>
  <c r="Q131" i="1" s="1"/>
  <c r="R131" i="1" s="1"/>
  <c r="S131" i="1" s="1"/>
  <c r="S139" i="1" s="1"/>
  <c r="I131" i="1"/>
  <c r="I139" i="1" s="1"/>
  <c r="H131" i="1"/>
  <c r="H14" i="2" l="1"/>
  <c r="G30" i="2"/>
  <c r="G29" i="2" s="1"/>
  <c r="H34" i="2"/>
  <c r="G7" i="2"/>
  <c r="F35" i="2"/>
  <c r="F33" i="2" s="1"/>
  <c r="I34" i="2"/>
  <c r="J6" i="2"/>
  <c r="D271" i="1"/>
  <c r="D301" i="1" s="1"/>
  <c r="E241" i="1"/>
  <c r="D264" i="1"/>
  <c r="D294" i="1" s="1"/>
  <c r="E234" i="1"/>
  <c r="D323" i="1"/>
  <c r="D261" i="1"/>
  <c r="E231" i="1"/>
  <c r="E232" i="1"/>
  <c r="D262" i="1"/>
  <c r="D279" i="1"/>
  <c r="D309" i="1" s="1"/>
  <c r="E249" i="1"/>
  <c r="D268" i="1"/>
  <c r="D298" i="1" s="1"/>
  <c r="E238" i="1"/>
  <c r="E243" i="1"/>
  <c r="D273" i="1"/>
  <c r="D303" i="1" s="1"/>
  <c r="D266" i="1"/>
  <c r="D296" i="1" s="1"/>
  <c r="E236" i="1"/>
  <c r="E233" i="1"/>
  <c r="D263" i="1"/>
  <c r="D293" i="1" s="1"/>
  <c r="D321" i="1"/>
  <c r="E253" i="1"/>
  <c r="D272" i="1"/>
  <c r="E242" i="1"/>
  <c r="D347" i="1"/>
  <c r="D277" i="1"/>
  <c r="D307" i="1" s="1"/>
  <c r="E247" i="1"/>
  <c r="D274" i="1"/>
  <c r="D304" i="1" s="1"/>
  <c r="E244" i="1"/>
  <c r="E265" i="1"/>
  <c r="E295" i="1" s="1"/>
  <c r="F235" i="1"/>
  <c r="E237" i="1"/>
  <c r="D267" i="1"/>
  <c r="D297" i="1" s="1"/>
  <c r="C291" i="1"/>
  <c r="C399" i="1" s="1"/>
  <c r="C361" i="1"/>
  <c r="D276" i="1"/>
  <c r="D306" i="1" s="1"/>
  <c r="E246" i="1"/>
  <c r="D282" i="1"/>
  <c r="D312" i="1" s="1"/>
  <c r="E252" i="1"/>
  <c r="Q135" i="1"/>
  <c r="M135" i="1"/>
  <c r="O140" i="1"/>
  <c r="K140" i="1"/>
  <c r="D140" i="1" s="1"/>
  <c r="O139" i="1"/>
  <c r="K139" i="1"/>
  <c r="D131" i="1"/>
  <c r="D132" i="1"/>
  <c r="S135" i="1"/>
  <c r="O135" i="1"/>
  <c r="K135" i="1"/>
  <c r="D135" i="1" s="1"/>
  <c r="G136" i="1"/>
  <c r="P136" i="1"/>
  <c r="L136" i="1"/>
  <c r="R140" i="1"/>
  <c r="N140" i="1"/>
  <c r="J140" i="1"/>
  <c r="R139" i="1"/>
  <c r="N139" i="1"/>
  <c r="J139" i="1"/>
  <c r="P135" i="1"/>
  <c r="L135" i="1"/>
  <c r="Q136" i="1"/>
  <c r="M136" i="1"/>
  <c r="S140" i="1"/>
  <c r="R135" i="1"/>
  <c r="N135" i="1"/>
  <c r="O136" i="1"/>
  <c r="K136" i="1"/>
  <c r="Q140" i="1"/>
  <c r="M140" i="1"/>
  <c r="Q139" i="1"/>
  <c r="M139" i="1"/>
  <c r="R136" i="1"/>
  <c r="N136" i="1"/>
  <c r="J136" i="1"/>
  <c r="P140" i="1"/>
  <c r="L140" i="1"/>
  <c r="P139" i="1"/>
  <c r="L139" i="1"/>
  <c r="H139" i="1"/>
  <c r="D139" i="1" s="1"/>
  <c r="E19" i="1"/>
  <c r="D19" i="1"/>
  <c r="C19" i="1"/>
  <c r="E17" i="1"/>
  <c r="D17" i="1"/>
  <c r="C17" i="1"/>
  <c r="F68" i="1"/>
  <c r="F67" i="1"/>
  <c r="F66" i="1"/>
  <c r="F63" i="1"/>
  <c r="F62" i="1"/>
  <c r="E64" i="1"/>
  <c r="E69" i="1"/>
  <c r="E39" i="1"/>
  <c r="D39" i="1"/>
  <c r="C39" i="1"/>
  <c r="F38" i="1"/>
  <c r="E37" i="1"/>
  <c r="D37" i="1"/>
  <c r="D35" i="1" s="1"/>
  <c r="C37" i="1"/>
  <c r="F36" i="1"/>
  <c r="E187" i="1" s="1"/>
  <c r="E34" i="1"/>
  <c r="D34" i="1"/>
  <c r="C34" i="1"/>
  <c r="F33" i="1"/>
  <c r="E32" i="1"/>
  <c r="D32" i="1"/>
  <c r="D30" i="1" s="1"/>
  <c r="C32" i="1"/>
  <c r="F31" i="1"/>
  <c r="E180" i="1" s="1"/>
  <c r="E23" i="1"/>
  <c r="E24" i="1" s="1"/>
  <c r="D23" i="1"/>
  <c r="D48" i="1" s="1"/>
  <c r="C23" i="1"/>
  <c r="C48" i="1" s="1"/>
  <c r="E21" i="1"/>
  <c r="E46" i="1" s="1"/>
  <c r="D21" i="1"/>
  <c r="D46" i="1" s="1"/>
  <c r="C21" i="1"/>
  <c r="C46" i="1" s="1"/>
  <c r="F43" i="1"/>
  <c r="F41" i="1"/>
  <c r="F28" i="1"/>
  <c r="F26" i="1"/>
  <c r="F18" i="1"/>
  <c r="F16" i="1"/>
  <c r="E52" i="1"/>
  <c r="E44" i="1"/>
  <c r="E42" i="1"/>
  <c r="E29" i="1"/>
  <c r="E27" i="1"/>
  <c r="I14" i="2" l="1"/>
  <c r="H30" i="2"/>
  <c r="H29" i="2" s="1"/>
  <c r="H7" i="2"/>
  <c r="G35" i="2"/>
  <c r="G33" i="2" s="1"/>
  <c r="K6" i="2"/>
  <c r="J34" i="2"/>
  <c r="E276" i="1"/>
  <c r="E306" i="1" s="1"/>
  <c r="F246" i="1"/>
  <c r="F244" i="1"/>
  <c r="E274" i="1"/>
  <c r="E304" i="1" s="1"/>
  <c r="F232" i="1"/>
  <c r="E262" i="1"/>
  <c r="F234" i="1"/>
  <c r="E264" i="1"/>
  <c r="E294" i="1" s="1"/>
  <c r="F237" i="1"/>
  <c r="E267" i="1"/>
  <c r="E297" i="1" s="1"/>
  <c r="E272" i="1"/>
  <c r="F242" i="1"/>
  <c r="F249" i="1"/>
  <c r="E279" i="1"/>
  <c r="E309" i="1" s="1"/>
  <c r="E323" i="1"/>
  <c r="F231" i="1"/>
  <c r="F252" i="1"/>
  <c r="E282" i="1"/>
  <c r="E312" i="1" s="1"/>
  <c r="G235" i="1"/>
  <c r="F265" i="1"/>
  <c r="F295" i="1" s="1"/>
  <c r="E347" i="1"/>
  <c r="E277" i="1"/>
  <c r="E307" i="1" s="1"/>
  <c r="F247" i="1"/>
  <c r="D270" i="1"/>
  <c r="D300" i="1" s="1"/>
  <c r="D302" i="1"/>
  <c r="F233" i="1"/>
  <c r="E263" i="1"/>
  <c r="E293" i="1" s="1"/>
  <c r="E273" i="1"/>
  <c r="E303" i="1" s="1"/>
  <c r="F243" i="1"/>
  <c r="D361" i="1"/>
  <c r="D291" i="1"/>
  <c r="F241" i="1"/>
  <c r="E271" i="1"/>
  <c r="E301" i="1" s="1"/>
  <c r="F253" i="1"/>
  <c r="E321" i="1"/>
  <c r="F236" i="1"/>
  <c r="E266" i="1"/>
  <c r="E296" i="1" s="1"/>
  <c r="E268" i="1"/>
  <c r="E298" i="1" s="1"/>
  <c r="F238" i="1"/>
  <c r="D260" i="1"/>
  <c r="D292" i="1"/>
  <c r="E173" i="1"/>
  <c r="E175" i="1" s="1"/>
  <c r="K175" i="1"/>
  <c r="F175" i="1"/>
  <c r="D136" i="1"/>
  <c r="E40" i="1"/>
  <c r="E48" i="1"/>
  <c r="E53" i="1" s="1"/>
  <c r="E49" i="1"/>
  <c r="E15" i="1"/>
  <c r="E51" i="1"/>
  <c r="F23" i="1"/>
  <c r="E22" i="1"/>
  <c r="E20" i="1" s="1"/>
  <c r="E30" i="1"/>
  <c r="E35" i="1"/>
  <c r="F39" i="1"/>
  <c r="F37" i="1"/>
  <c r="C35" i="1"/>
  <c r="F34" i="1"/>
  <c r="F32" i="1"/>
  <c r="C30" i="1"/>
  <c r="F21" i="1"/>
  <c r="E25" i="1"/>
  <c r="B36" i="2"/>
  <c r="B35" i="2"/>
  <c r="B34" i="2"/>
  <c r="B32" i="2"/>
  <c r="B31" i="2"/>
  <c r="B30" i="2"/>
  <c r="J14" i="2" l="1"/>
  <c r="I30" i="2"/>
  <c r="I29" i="2" s="1"/>
  <c r="H35" i="2"/>
  <c r="H33" i="2" s="1"/>
  <c r="I7" i="2"/>
  <c r="K34" i="2"/>
  <c r="L6" i="2"/>
  <c r="I175" i="1"/>
  <c r="J175" i="1"/>
  <c r="G175" i="1"/>
  <c r="F268" i="1"/>
  <c r="F298" i="1" s="1"/>
  <c r="G238" i="1"/>
  <c r="G247" i="1"/>
  <c r="F347" i="1"/>
  <c r="F277" i="1"/>
  <c r="F307" i="1" s="1"/>
  <c r="H235" i="1"/>
  <c r="G265" i="1"/>
  <c r="G295" i="1" s="1"/>
  <c r="F272" i="1"/>
  <c r="F302" i="1" s="1"/>
  <c r="G242" i="1"/>
  <c r="G253" i="1"/>
  <c r="F321" i="1"/>
  <c r="G233" i="1"/>
  <c r="F263" i="1"/>
  <c r="F293" i="1" s="1"/>
  <c r="E270" i="1"/>
  <c r="E300" i="1" s="1"/>
  <c r="E302" i="1"/>
  <c r="G234" i="1"/>
  <c r="F264" i="1"/>
  <c r="F294" i="1" s="1"/>
  <c r="G244" i="1"/>
  <c r="F274" i="1"/>
  <c r="F304" i="1" s="1"/>
  <c r="G243" i="1"/>
  <c r="F273" i="1"/>
  <c r="F303" i="1" s="1"/>
  <c r="G252" i="1"/>
  <c r="F282" i="1"/>
  <c r="F312" i="1" s="1"/>
  <c r="E292" i="1"/>
  <c r="F276" i="1"/>
  <c r="F306" i="1" s="1"/>
  <c r="G246" i="1"/>
  <c r="H175" i="1"/>
  <c r="D269" i="1"/>
  <c r="D290" i="1"/>
  <c r="D461" i="1" s="1"/>
  <c r="G236" i="1"/>
  <c r="F266" i="1"/>
  <c r="F296" i="1" s="1"/>
  <c r="G241" i="1"/>
  <c r="F271" i="1"/>
  <c r="G231" i="1"/>
  <c r="F323" i="1"/>
  <c r="G249" i="1"/>
  <c r="F279" i="1"/>
  <c r="F309" i="1" s="1"/>
  <c r="G237" i="1"/>
  <c r="F267" i="1"/>
  <c r="F297" i="1" s="1"/>
  <c r="G232" i="1"/>
  <c r="F262" i="1"/>
  <c r="F292" i="1" s="1"/>
  <c r="E176" i="1"/>
  <c r="E177" i="1" s="1"/>
  <c r="E158" i="1"/>
  <c r="E159" i="1" s="1"/>
  <c r="F161" i="1" s="1"/>
  <c r="G161" i="1" s="1"/>
  <c r="H161" i="1" s="1"/>
  <c r="I161" i="1" s="1"/>
  <c r="J161" i="1" s="1"/>
  <c r="J215" i="1" s="1"/>
  <c r="G130" i="1"/>
  <c r="E374" i="1" s="1"/>
  <c r="F35" i="1"/>
  <c r="E47" i="1"/>
  <c r="E54" i="1" s="1"/>
  <c r="E50" i="1" s="1"/>
  <c r="F30" i="1"/>
  <c r="E23" i="2"/>
  <c r="J30" i="2" l="1"/>
  <c r="J29" i="2" s="1"/>
  <c r="K14" i="2"/>
  <c r="J7" i="2"/>
  <c r="I35" i="2"/>
  <c r="I33" i="2" s="1"/>
  <c r="M6" i="2"/>
  <c r="L34" i="2"/>
  <c r="F176" i="1"/>
  <c r="F177" i="1" s="1"/>
  <c r="H237" i="1"/>
  <c r="G267" i="1"/>
  <c r="G297" i="1" s="1"/>
  <c r="H243" i="1"/>
  <c r="G273" i="1"/>
  <c r="G303" i="1" s="1"/>
  <c r="H234" i="1"/>
  <c r="G264" i="1"/>
  <c r="G294" i="1" s="1"/>
  <c r="H233" i="1"/>
  <c r="G263" i="1"/>
  <c r="G293" i="1" s="1"/>
  <c r="E161" i="1"/>
  <c r="E162" i="1" s="1"/>
  <c r="H231" i="1"/>
  <c r="G323" i="1"/>
  <c r="H236" i="1"/>
  <c r="G266" i="1"/>
  <c r="G296" i="1" s="1"/>
  <c r="H246" i="1"/>
  <c r="G276" i="1"/>
  <c r="G306" i="1" s="1"/>
  <c r="H247" i="1"/>
  <c r="G347" i="1"/>
  <c r="G277" i="1"/>
  <c r="G307" i="1" s="1"/>
  <c r="H232" i="1"/>
  <c r="G262" i="1"/>
  <c r="G292" i="1" s="1"/>
  <c r="G279" i="1"/>
  <c r="G309" i="1" s="1"/>
  <c r="H249" i="1"/>
  <c r="F270" i="1"/>
  <c r="F300" i="1" s="1"/>
  <c r="F301" i="1"/>
  <c r="H252" i="1"/>
  <c r="G282" i="1"/>
  <c r="G312" i="1" s="1"/>
  <c r="H244" i="1"/>
  <c r="G274" i="1"/>
  <c r="G304" i="1" s="1"/>
  <c r="H253" i="1"/>
  <c r="G321" i="1"/>
  <c r="I235" i="1"/>
  <c r="H265" i="1"/>
  <c r="H295" i="1" s="1"/>
  <c r="H238" i="1"/>
  <c r="G268" i="1"/>
  <c r="G298" i="1" s="1"/>
  <c r="E412" i="1"/>
  <c r="E459" i="1"/>
  <c r="G215" i="1"/>
  <c r="G261" i="1" s="1"/>
  <c r="G271" i="1"/>
  <c r="H241" i="1"/>
  <c r="D299" i="1"/>
  <c r="D275" i="1"/>
  <c r="H242" i="1"/>
  <c r="G272" i="1"/>
  <c r="G302" i="1" s="1"/>
  <c r="E215" i="1"/>
  <c r="E261" i="1" s="1"/>
  <c r="I215" i="1"/>
  <c r="H215" i="1"/>
  <c r="K161" i="1"/>
  <c r="J165" i="1"/>
  <c r="F215" i="1"/>
  <c r="F261" i="1" s="1"/>
  <c r="F162" i="1"/>
  <c r="E163" i="1"/>
  <c r="E170" i="1" s="1"/>
  <c r="G176" i="1"/>
  <c r="G138" i="1"/>
  <c r="G134" i="1"/>
  <c r="E45" i="1"/>
  <c r="E55" i="1" s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I415" i="1"/>
  <c r="Q395" i="1"/>
  <c r="Q458" i="1" s="1"/>
  <c r="P395" i="1"/>
  <c r="P458" i="1" s="1"/>
  <c r="O395" i="1"/>
  <c r="O458" i="1" s="1"/>
  <c r="N395" i="1"/>
  <c r="N458" i="1" s="1"/>
  <c r="M395" i="1"/>
  <c r="M458" i="1" s="1"/>
  <c r="L395" i="1"/>
  <c r="L458" i="1" s="1"/>
  <c r="K395" i="1"/>
  <c r="K458" i="1" s="1"/>
  <c r="J395" i="1"/>
  <c r="J458" i="1" s="1"/>
  <c r="I395" i="1"/>
  <c r="I458" i="1" s="1"/>
  <c r="H395" i="1"/>
  <c r="H458" i="1" s="1"/>
  <c r="G395" i="1"/>
  <c r="G458" i="1" s="1"/>
  <c r="F395" i="1"/>
  <c r="F458" i="1" s="1"/>
  <c r="E395" i="1"/>
  <c r="E458" i="1" s="1"/>
  <c r="D395" i="1"/>
  <c r="D458" i="1" s="1"/>
  <c r="C395" i="1"/>
  <c r="C458" i="1" s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D345" i="1"/>
  <c r="E345" i="1"/>
  <c r="F345" i="1"/>
  <c r="G345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C345" i="1"/>
  <c r="C339" i="1"/>
  <c r="C337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C156" i="1"/>
  <c r="L151" i="1"/>
  <c r="E151" i="1"/>
  <c r="F151" i="1"/>
  <c r="G151" i="1"/>
  <c r="H151" i="1"/>
  <c r="D104" i="1"/>
  <c r="D94" i="1"/>
  <c r="D103" i="1" s="1"/>
  <c r="C104" i="1"/>
  <c r="C94" i="1"/>
  <c r="C103" i="1" s="1"/>
  <c r="K30" i="2" l="1"/>
  <c r="K29" i="2" s="1"/>
  <c r="L14" i="2"/>
  <c r="K7" i="2"/>
  <c r="J35" i="2"/>
  <c r="J33" i="2" s="1"/>
  <c r="M34" i="2"/>
  <c r="N6" i="2"/>
  <c r="G260" i="1"/>
  <c r="G361" i="1"/>
  <c r="G291" i="1"/>
  <c r="I242" i="1"/>
  <c r="H272" i="1"/>
  <c r="G270" i="1"/>
  <c r="G300" i="1" s="1"/>
  <c r="G301" i="1"/>
  <c r="I232" i="1"/>
  <c r="H262" i="1"/>
  <c r="F260" i="1"/>
  <c r="F361" i="1"/>
  <c r="F291" i="1"/>
  <c r="D278" i="1"/>
  <c r="D305" i="1"/>
  <c r="I238" i="1"/>
  <c r="H268" i="1"/>
  <c r="H298" i="1" s="1"/>
  <c r="I253" i="1"/>
  <c r="H321" i="1"/>
  <c r="I252" i="1"/>
  <c r="H282" i="1"/>
  <c r="H312" i="1" s="1"/>
  <c r="I249" i="1"/>
  <c r="H279" i="1"/>
  <c r="H309" i="1" s="1"/>
  <c r="I246" i="1"/>
  <c r="H276" i="1"/>
  <c r="H306" i="1" s="1"/>
  <c r="I233" i="1"/>
  <c r="H263" i="1"/>
  <c r="H293" i="1" s="1"/>
  <c r="I243" i="1"/>
  <c r="H273" i="1"/>
  <c r="H303" i="1" s="1"/>
  <c r="J374" i="1"/>
  <c r="J412" i="1" s="1"/>
  <c r="J448" i="1"/>
  <c r="E361" i="1"/>
  <c r="E291" i="1"/>
  <c r="E260" i="1"/>
  <c r="I231" i="1"/>
  <c r="H323" i="1"/>
  <c r="H261" i="1"/>
  <c r="I241" i="1"/>
  <c r="H271" i="1"/>
  <c r="H301" i="1" s="1"/>
  <c r="J235" i="1"/>
  <c r="I265" i="1"/>
  <c r="I295" i="1" s="1"/>
  <c r="I244" i="1"/>
  <c r="H274" i="1"/>
  <c r="H304" i="1" s="1"/>
  <c r="I247" i="1"/>
  <c r="H347" i="1"/>
  <c r="H345" i="1" s="1"/>
  <c r="H277" i="1"/>
  <c r="H307" i="1" s="1"/>
  <c r="I236" i="1"/>
  <c r="H266" i="1"/>
  <c r="H296" i="1" s="1"/>
  <c r="I234" i="1"/>
  <c r="H264" i="1"/>
  <c r="H294" i="1" s="1"/>
  <c r="I237" i="1"/>
  <c r="H267" i="1"/>
  <c r="H297" i="1" s="1"/>
  <c r="L161" i="1"/>
  <c r="M161" i="1" s="1"/>
  <c r="J169" i="1"/>
  <c r="K167" i="1"/>
  <c r="K215" i="1" s="1"/>
  <c r="H176" i="1"/>
  <c r="G177" i="1"/>
  <c r="G162" i="1"/>
  <c r="F163" i="1"/>
  <c r="F170" i="1" s="1"/>
  <c r="I387" i="1"/>
  <c r="M387" i="1"/>
  <c r="Q387" i="1"/>
  <c r="E349" i="1"/>
  <c r="N415" i="1"/>
  <c r="G415" i="1"/>
  <c r="G425" i="1" s="1"/>
  <c r="O415" i="1"/>
  <c r="O425" i="1" s="1"/>
  <c r="F415" i="1"/>
  <c r="F425" i="1" s="1"/>
  <c r="J415" i="1"/>
  <c r="J425" i="1" s="1"/>
  <c r="M415" i="1"/>
  <c r="M425" i="1" s="1"/>
  <c r="C349" i="1"/>
  <c r="K415" i="1"/>
  <c r="K425" i="1" s="1"/>
  <c r="H349" i="1"/>
  <c r="D349" i="1"/>
  <c r="H387" i="1"/>
  <c r="L387" i="1"/>
  <c r="P387" i="1"/>
  <c r="I425" i="1"/>
  <c r="Q415" i="1"/>
  <c r="Q425" i="1" s="1"/>
  <c r="F349" i="1"/>
  <c r="F387" i="1"/>
  <c r="J387" i="1"/>
  <c r="N387" i="1"/>
  <c r="G349" i="1"/>
  <c r="D440" i="1"/>
  <c r="H440" i="1"/>
  <c r="L440" i="1"/>
  <c r="P440" i="1"/>
  <c r="E440" i="1"/>
  <c r="I440" i="1"/>
  <c r="M440" i="1"/>
  <c r="Q440" i="1"/>
  <c r="F440" i="1"/>
  <c r="J440" i="1"/>
  <c r="N440" i="1"/>
  <c r="C440" i="1"/>
  <c r="G440" i="1"/>
  <c r="K440" i="1"/>
  <c r="O440" i="1"/>
  <c r="N425" i="1"/>
  <c r="J151" i="1"/>
  <c r="C322" i="1"/>
  <c r="G387" i="1"/>
  <c r="K387" i="1"/>
  <c r="O387" i="1"/>
  <c r="H415" i="1"/>
  <c r="H425" i="1" s="1"/>
  <c r="L415" i="1"/>
  <c r="L425" i="1" s="1"/>
  <c r="P415" i="1"/>
  <c r="P425" i="1" s="1"/>
  <c r="K151" i="1"/>
  <c r="Q151" i="1"/>
  <c r="M151" i="1"/>
  <c r="C109" i="1"/>
  <c r="C112" i="1" s="1"/>
  <c r="C114" i="1" s="1"/>
  <c r="C117" i="1" s="1"/>
  <c r="D109" i="1"/>
  <c r="D112" i="1" s="1"/>
  <c r="D114" i="1" s="1"/>
  <c r="D117" i="1" s="1"/>
  <c r="M14" i="2" l="1"/>
  <c r="L30" i="2"/>
  <c r="L29" i="2" s="1"/>
  <c r="L7" i="2"/>
  <c r="K35" i="2"/>
  <c r="K33" i="2" s="1"/>
  <c r="O6" i="2"/>
  <c r="N34" i="2"/>
  <c r="J234" i="1"/>
  <c r="I264" i="1"/>
  <c r="I294" i="1" s="1"/>
  <c r="H361" i="1"/>
  <c r="H291" i="1"/>
  <c r="J232" i="1"/>
  <c r="I262" i="1"/>
  <c r="J242" i="1"/>
  <c r="I272" i="1"/>
  <c r="J247" i="1"/>
  <c r="I347" i="1"/>
  <c r="I345" i="1" s="1"/>
  <c r="I349" i="1" s="1"/>
  <c r="I277" i="1"/>
  <c r="I307" i="1" s="1"/>
  <c r="K235" i="1"/>
  <c r="J265" i="1"/>
  <c r="J295" i="1" s="1"/>
  <c r="I273" i="1"/>
  <c r="I303" i="1" s="1"/>
  <c r="J243" i="1"/>
  <c r="J246" i="1"/>
  <c r="I276" i="1"/>
  <c r="I306" i="1" s="1"/>
  <c r="J252" i="1"/>
  <c r="I282" i="1"/>
  <c r="I312" i="1" s="1"/>
  <c r="J238" i="1"/>
  <c r="I268" i="1"/>
  <c r="I298" i="1" s="1"/>
  <c r="J237" i="1"/>
  <c r="I267" i="1"/>
  <c r="I297" i="1" s="1"/>
  <c r="J236" i="1"/>
  <c r="I266" i="1"/>
  <c r="I296" i="1" s="1"/>
  <c r="J231" i="1"/>
  <c r="I323" i="1"/>
  <c r="I261" i="1"/>
  <c r="F269" i="1"/>
  <c r="F290" i="1"/>
  <c r="F461" i="1" s="1"/>
  <c r="J244" i="1"/>
  <c r="I274" i="1"/>
  <c r="I304" i="1" s="1"/>
  <c r="J241" i="1"/>
  <c r="I271" i="1"/>
  <c r="I301" i="1" s="1"/>
  <c r="E269" i="1"/>
  <c r="E290" i="1"/>
  <c r="E461" i="1" s="1"/>
  <c r="J233" i="1"/>
  <c r="I263" i="1"/>
  <c r="I293" i="1" s="1"/>
  <c r="J249" i="1"/>
  <c r="I279" i="1"/>
  <c r="I309" i="1" s="1"/>
  <c r="J253" i="1"/>
  <c r="I321" i="1"/>
  <c r="D280" i="1"/>
  <c r="D308" i="1"/>
  <c r="H260" i="1"/>
  <c r="H292" i="1"/>
  <c r="H270" i="1"/>
  <c r="H300" i="1" s="1"/>
  <c r="H302" i="1"/>
  <c r="G269" i="1"/>
  <c r="G290" i="1"/>
  <c r="G461" i="1" s="1"/>
  <c r="K168" i="1"/>
  <c r="L167" i="1"/>
  <c r="M167" i="1" s="1"/>
  <c r="N167" i="1" s="1"/>
  <c r="O167" i="1" s="1"/>
  <c r="N161" i="1"/>
  <c r="H162" i="1"/>
  <c r="G163" i="1"/>
  <c r="G170" i="1" s="1"/>
  <c r="I176" i="1"/>
  <c r="H177" i="1"/>
  <c r="F23" i="2"/>
  <c r="P151" i="1"/>
  <c r="O151" i="1"/>
  <c r="P441" i="1"/>
  <c r="E441" i="1"/>
  <c r="J441" i="1"/>
  <c r="Q441" i="1"/>
  <c r="F441" i="1"/>
  <c r="D441" i="1"/>
  <c r="H441" i="1"/>
  <c r="I441" i="1"/>
  <c r="N441" i="1"/>
  <c r="L441" i="1"/>
  <c r="C441" i="1"/>
  <c r="M441" i="1"/>
  <c r="G441" i="1"/>
  <c r="K441" i="1"/>
  <c r="O441" i="1"/>
  <c r="H375" i="1"/>
  <c r="H413" i="1"/>
  <c r="E413" i="1"/>
  <c r="E375" i="1"/>
  <c r="L375" i="1"/>
  <c r="L413" i="1"/>
  <c r="F413" i="1"/>
  <c r="F375" i="1"/>
  <c r="C260" i="1"/>
  <c r="G375" i="1"/>
  <c r="G413" i="1"/>
  <c r="D322" i="1"/>
  <c r="C270" i="1"/>
  <c r="C300" i="1" s="1"/>
  <c r="C398" i="1"/>
  <c r="C360" i="1"/>
  <c r="M30" i="2" l="1"/>
  <c r="M29" i="2" s="1"/>
  <c r="N14" i="2"/>
  <c r="M7" i="2"/>
  <c r="L35" i="2"/>
  <c r="L33" i="2" s="1"/>
  <c r="P6" i="2"/>
  <c r="O34" i="2"/>
  <c r="M215" i="1"/>
  <c r="I361" i="1"/>
  <c r="I291" i="1"/>
  <c r="K236" i="1"/>
  <c r="J266" i="1"/>
  <c r="J296" i="1" s="1"/>
  <c r="K238" i="1"/>
  <c r="J268" i="1"/>
  <c r="J298" i="1" s="1"/>
  <c r="K246" i="1"/>
  <c r="J276" i="1"/>
  <c r="J306" i="1" s="1"/>
  <c r="L235" i="1"/>
  <c r="K265" i="1"/>
  <c r="K295" i="1" s="1"/>
  <c r="I270" i="1"/>
  <c r="I300" i="1" s="1"/>
  <c r="I302" i="1"/>
  <c r="D281" i="1"/>
  <c r="D310" i="1"/>
  <c r="D311" i="1" s="1"/>
  <c r="K249" i="1"/>
  <c r="J279" i="1"/>
  <c r="J309" i="1" s="1"/>
  <c r="E299" i="1"/>
  <c r="E275" i="1"/>
  <c r="K244" i="1"/>
  <c r="J274" i="1"/>
  <c r="J304" i="1" s="1"/>
  <c r="K243" i="1"/>
  <c r="J273" i="1"/>
  <c r="J303" i="1" s="1"/>
  <c r="J272" i="1"/>
  <c r="J302" i="1" s="1"/>
  <c r="K242" i="1"/>
  <c r="K231" i="1"/>
  <c r="J323" i="1"/>
  <c r="J261" i="1"/>
  <c r="K237" i="1"/>
  <c r="J267" i="1"/>
  <c r="J297" i="1" s="1"/>
  <c r="K252" i="1"/>
  <c r="J282" i="1"/>
  <c r="J312" i="1" s="1"/>
  <c r="I260" i="1"/>
  <c r="I292" i="1"/>
  <c r="G299" i="1"/>
  <c r="G275" i="1"/>
  <c r="H269" i="1"/>
  <c r="H290" i="1"/>
  <c r="H461" i="1" s="1"/>
  <c r="K253" i="1"/>
  <c r="J321" i="1"/>
  <c r="K233" i="1"/>
  <c r="J263" i="1"/>
  <c r="J293" i="1" s="1"/>
  <c r="K241" i="1"/>
  <c r="J271" i="1"/>
  <c r="F299" i="1"/>
  <c r="F275" i="1"/>
  <c r="K247" i="1"/>
  <c r="J347" i="1"/>
  <c r="J345" i="1" s="1"/>
  <c r="J349" i="1" s="1"/>
  <c r="J277" i="1"/>
  <c r="J307" i="1" s="1"/>
  <c r="K232" i="1"/>
  <c r="J262" i="1"/>
  <c r="J292" i="1" s="1"/>
  <c r="K234" i="1"/>
  <c r="J264" i="1"/>
  <c r="J294" i="1" s="1"/>
  <c r="O161" i="1"/>
  <c r="N215" i="1"/>
  <c r="L168" i="1"/>
  <c r="K169" i="1"/>
  <c r="J176" i="1"/>
  <c r="I177" i="1"/>
  <c r="I162" i="1"/>
  <c r="H163" i="1"/>
  <c r="H170" i="1" s="1"/>
  <c r="G23" i="2"/>
  <c r="C290" i="1"/>
  <c r="C461" i="1" s="1"/>
  <c r="C269" i="1"/>
  <c r="E322" i="1"/>
  <c r="K375" i="1"/>
  <c r="K413" i="1"/>
  <c r="P375" i="1"/>
  <c r="P413" i="1"/>
  <c r="M413" i="1"/>
  <c r="M375" i="1"/>
  <c r="Q413" i="1"/>
  <c r="Q375" i="1"/>
  <c r="J413" i="1"/>
  <c r="J375" i="1"/>
  <c r="N30" i="2" l="1"/>
  <c r="N29" i="2" s="1"/>
  <c r="O14" i="2"/>
  <c r="N7" i="2"/>
  <c r="M35" i="2"/>
  <c r="M33" i="2" s="1"/>
  <c r="Q6" i="2"/>
  <c r="Q34" i="2" s="1"/>
  <c r="P34" i="2"/>
  <c r="L241" i="1"/>
  <c r="K271" i="1"/>
  <c r="L244" i="1"/>
  <c r="K274" i="1"/>
  <c r="K304" i="1" s="1"/>
  <c r="L249" i="1"/>
  <c r="K279" i="1"/>
  <c r="K309" i="1" s="1"/>
  <c r="L246" i="1"/>
  <c r="K276" i="1"/>
  <c r="K306" i="1" s="1"/>
  <c r="L236" i="1"/>
  <c r="K266" i="1"/>
  <c r="K296" i="1" s="1"/>
  <c r="L247" i="1"/>
  <c r="K347" i="1"/>
  <c r="K345" i="1" s="1"/>
  <c r="K349" i="1" s="1"/>
  <c r="K277" i="1"/>
  <c r="K307" i="1" s="1"/>
  <c r="L253" i="1"/>
  <c r="K321" i="1"/>
  <c r="J260" i="1"/>
  <c r="J361" i="1"/>
  <c r="J291" i="1"/>
  <c r="F278" i="1"/>
  <c r="F305" i="1"/>
  <c r="L233" i="1"/>
  <c r="K263" i="1"/>
  <c r="K293" i="1" s="1"/>
  <c r="H299" i="1"/>
  <c r="H275" i="1"/>
  <c r="L231" i="1"/>
  <c r="K323" i="1"/>
  <c r="K261" i="1"/>
  <c r="L243" i="1"/>
  <c r="K273" i="1"/>
  <c r="K303" i="1" s="1"/>
  <c r="M235" i="1"/>
  <c r="L265" i="1"/>
  <c r="L295" i="1" s="1"/>
  <c r="L238" i="1"/>
  <c r="K268" i="1"/>
  <c r="K298" i="1" s="1"/>
  <c r="L232" i="1"/>
  <c r="K262" i="1"/>
  <c r="K292" i="1" s="1"/>
  <c r="L252" i="1"/>
  <c r="K282" i="1"/>
  <c r="K312" i="1" s="1"/>
  <c r="E278" i="1"/>
  <c r="E305" i="1"/>
  <c r="L234" i="1"/>
  <c r="K264" i="1"/>
  <c r="K294" i="1" s="1"/>
  <c r="J270" i="1"/>
  <c r="J300" i="1" s="1"/>
  <c r="J301" i="1"/>
  <c r="G278" i="1"/>
  <c r="G305" i="1"/>
  <c r="I269" i="1"/>
  <c r="I290" i="1"/>
  <c r="I461" i="1" s="1"/>
  <c r="L237" i="1"/>
  <c r="K267" i="1"/>
  <c r="K297" i="1" s="1"/>
  <c r="L242" i="1"/>
  <c r="K272" i="1"/>
  <c r="K302" i="1" s="1"/>
  <c r="M168" i="1"/>
  <c r="L169" i="1"/>
  <c r="P161" i="1"/>
  <c r="O165" i="1"/>
  <c r="O215" i="1"/>
  <c r="J162" i="1"/>
  <c r="I163" i="1"/>
  <c r="I170" i="1" s="1"/>
  <c r="J177" i="1"/>
  <c r="K176" i="1"/>
  <c r="H23" i="2"/>
  <c r="C299" i="1"/>
  <c r="C275" i="1"/>
  <c r="F322" i="1"/>
  <c r="C85" i="1"/>
  <c r="D53" i="1"/>
  <c r="F48" i="1"/>
  <c r="D44" i="1"/>
  <c r="C44" i="1"/>
  <c r="D42" i="1"/>
  <c r="C42" i="1"/>
  <c r="D29" i="1"/>
  <c r="C29" i="1"/>
  <c r="D27" i="1"/>
  <c r="C27" i="1"/>
  <c r="D24" i="1"/>
  <c r="C24" i="1"/>
  <c r="D22" i="1"/>
  <c r="C22" i="1"/>
  <c r="P14" i="2" l="1"/>
  <c r="O30" i="2"/>
  <c r="O29" i="2" s="1"/>
  <c r="O7" i="2"/>
  <c r="N35" i="2"/>
  <c r="N33" i="2" s="1"/>
  <c r="P167" i="1"/>
  <c r="Q167" i="1" s="1"/>
  <c r="O374" i="1"/>
  <c r="O448" i="1"/>
  <c r="K260" i="1"/>
  <c r="K361" i="1"/>
  <c r="K291" i="1"/>
  <c r="F280" i="1"/>
  <c r="F308" i="1"/>
  <c r="M247" i="1"/>
  <c r="L277" i="1"/>
  <c r="L307" i="1" s="1"/>
  <c r="L347" i="1"/>
  <c r="L345" i="1" s="1"/>
  <c r="L349" i="1" s="1"/>
  <c r="M246" i="1"/>
  <c r="L276" i="1"/>
  <c r="L306" i="1" s="1"/>
  <c r="M244" i="1"/>
  <c r="L274" i="1"/>
  <c r="L304" i="1" s="1"/>
  <c r="M242" i="1"/>
  <c r="L272" i="1"/>
  <c r="I299" i="1"/>
  <c r="I275" i="1"/>
  <c r="E280" i="1"/>
  <c r="E308" i="1"/>
  <c r="M232" i="1"/>
  <c r="L262" i="1"/>
  <c r="N235" i="1"/>
  <c r="M265" i="1"/>
  <c r="M295" i="1" s="1"/>
  <c r="M253" i="1"/>
  <c r="L321" i="1"/>
  <c r="K270" i="1"/>
  <c r="K300" i="1" s="1"/>
  <c r="K301" i="1"/>
  <c r="M231" i="1"/>
  <c r="L323" i="1"/>
  <c r="M233" i="1"/>
  <c r="L263" i="1"/>
  <c r="L293" i="1" s="1"/>
  <c r="M236" i="1"/>
  <c r="L266" i="1"/>
  <c r="L296" i="1" s="1"/>
  <c r="M249" i="1"/>
  <c r="L279" i="1"/>
  <c r="L309" i="1" s="1"/>
  <c r="M241" i="1"/>
  <c r="L271" i="1"/>
  <c r="L301" i="1" s="1"/>
  <c r="M237" i="1"/>
  <c r="L267" i="1"/>
  <c r="L297" i="1" s="1"/>
  <c r="G280" i="1"/>
  <c r="G308" i="1"/>
  <c r="M234" i="1"/>
  <c r="L264" i="1"/>
  <c r="L294" i="1" s="1"/>
  <c r="M252" i="1"/>
  <c r="L282" i="1"/>
  <c r="L312" i="1" s="1"/>
  <c r="M238" i="1"/>
  <c r="L268" i="1"/>
  <c r="L298" i="1" s="1"/>
  <c r="M243" i="1"/>
  <c r="L273" i="1"/>
  <c r="L303" i="1" s="1"/>
  <c r="H278" i="1"/>
  <c r="H305" i="1"/>
  <c r="J269" i="1"/>
  <c r="J290" i="1"/>
  <c r="J461" i="1" s="1"/>
  <c r="Q161" i="1"/>
  <c r="Q215" i="1" s="1"/>
  <c r="N168" i="1"/>
  <c r="M169" i="1"/>
  <c r="K177" i="1"/>
  <c r="L175" i="1" s="1"/>
  <c r="K162" i="1"/>
  <c r="J163" i="1"/>
  <c r="J170" i="1" s="1"/>
  <c r="D49" i="1"/>
  <c r="D47" i="1"/>
  <c r="C47" i="1"/>
  <c r="C49" i="1"/>
  <c r="F17" i="1"/>
  <c r="F24" i="1"/>
  <c r="F29" i="1"/>
  <c r="F44" i="1"/>
  <c r="F19" i="1"/>
  <c r="F27" i="1"/>
  <c r="F42" i="1"/>
  <c r="F22" i="1"/>
  <c r="C51" i="1"/>
  <c r="F46" i="1"/>
  <c r="I23" i="2"/>
  <c r="G322" i="1"/>
  <c r="C278" i="1"/>
  <c r="C305" i="1"/>
  <c r="D51" i="1"/>
  <c r="F130" i="1" s="1"/>
  <c r="D374" i="1" s="1"/>
  <c r="D52" i="1"/>
  <c r="C53" i="1"/>
  <c r="F53" i="1" s="1"/>
  <c r="D40" i="1"/>
  <c r="C40" i="1"/>
  <c r="D25" i="1"/>
  <c r="C25" i="1"/>
  <c r="D20" i="1"/>
  <c r="D15" i="1"/>
  <c r="C15" i="1"/>
  <c r="C20" i="1"/>
  <c r="Q14" i="2" l="1"/>
  <c r="Q30" i="2" s="1"/>
  <c r="Q29" i="2" s="1"/>
  <c r="P30" i="2"/>
  <c r="P29" i="2" s="1"/>
  <c r="P7" i="2"/>
  <c r="O35" i="2"/>
  <c r="O33" i="2" s="1"/>
  <c r="E281" i="1"/>
  <c r="E310" i="1"/>
  <c r="E311" i="1" s="1"/>
  <c r="N246" i="1"/>
  <c r="M276" i="1"/>
  <c r="M306" i="1" s="1"/>
  <c r="J299" i="1"/>
  <c r="J275" i="1"/>
  <c r="N243" i="1"/>
  <c r="M273" i="1"/>
  <c r="M303" i="1" s="1"/>
  <c r="N252" i="1"/>
  <c r="M282" i="1"/>
  <c r="M312" i="1" s="1"/>
  <c r="G281" i="1"/>
  <c r="G310" i="1"/>
  <c r="G311" i="1" s="1"/>
  <c r="N241" i="1"/>
  <c r="M271" i="1"/>
  <c r="M301" i="1" s="1"/>
  <c r="N236" i="1"/>
  <c r="M266" i="1"/>
  <c r="M296" i="1" s="1"/>
  <c r="L292" i="1"/>
  <c r="I278" i="1"/>
  <c r="I305" i="1"/>
  <c r="F281" i="1"/>
  <c r="F310" i="1"/>
  <c r="F311" i="1" s="1"/>
  <c r="O235" i="1"/>
  <c r="N265" i="1"/>
  <c r="N295" i="1" s="1"/>
  <c r="N242" i="1"/>
  <c r="M272" i="1"/>
  <c r="K269" i="1"/>
  <c r="K290" i="1"/>
  <c r="K461" i="1" s="1"/>
  <c r="D459" i="1"/>
  <c r="D412" i="1"/>
  <c r="P215" i="1"/>
  <c r="N231" i="1"/>
  <c r="M323" i="1"/>
  <c r="M261" i="1"/>
  <c r="N253" i="1"/>
  <c r="M321" i="1"/>
  <c r="N232" i="1"/>
  <c r="M262" i="1"/>
  <c r="N244" i="1"/>
  <c r="M274" i="1"/>
  <c r="M304" i="1" s="1"/>
  <c r="O412" i="1"/>
  <c r="O413" i="1" s="1"/>
  <c r="O375" i="1"/>
  <c r="H280" i="1"/>
  <c r="H308" i="1"/>
  <c r="N238" i="1"/>
  <c r="M268" i="1"/>
  <c r="M298" i="1" s="1"/>
  <c r="N234" i="1"/>
  <c r="M264" i="1"/>
  <c r="M294" i="1" s="1"/>
  <c r="N237" i="1"/>
  <c r="M267" i="1"/>
  <c r="M297" i="1" s="1"/>
  <c r="N249" i="1"/>
  <c r="M279" i="1"/>
  <c r="M309" i="1" s="1"/>
  <c r="N233" i="1"/>
  <c r="M263" i="1"/>
  <c r="M293" i="1" s="1"/>
  <c r="L270" i="1"/>
  <c r="L300" i="1" s="1"/>
  <c r="L302" i="1"/>
  <c r="N247" i="1"/>
  <c r="M347" i="1"/>
  <c r="M345" i="1" s="1"/>
  <c r="M349" i="1" s="1"/>
  <c r="M277" i="1"/>
  <c r="M307" i="1" s="1"/>
  <c r="O168" i="1"/>
  <c r="N169" i="1"/>
  <c r="L176" i="1"/>
  <c r="L215" i="1"/>
  <c r="L261" i="1" s="1"/>
  <c r="L162" i="1"/>
  <c r="K163" i="1"/>
  <c r="K170" i="1" s="1"/>
  <c r="M176" i="1"/>
  <c r="L177" i="1"/>
  <c r="F134" i="1"/>
  <c r="F138" i="1"/>
  <c r="E130" i="1"/>
  <c r="C374" i="1" s="1"/>
  <c r="F15" i="1"/>
  <c r="F25" i="1"/>
  <c r="F49" i="1"/>
  <c r="F40" i="1"/>
  <c r="F20" i="1"/>
  <c r="F47" i="1"/>
  <c r="F51" i="1"/>
  <c r="C470" i="1" s="1"/>
  <c r="J23" i="2"/>
  <c r="C308" i="1"/>
  <c r="C280" i="1"/>
  <c r="H322" i="1"/>
  <c r="C54" i="1"/>
  <c r="D45" i="1"/>
  <c r="D54" i="1"/>
  <c r="C52" i="1"/>
  <c r="F52" i="1" s="1"/>
  <c r="C45" i="1"/>
  <c r="Q7" i="2" l="1"/>
  <c r="Q35" i="2" s="1"/>
  <c r="Q33" i="2" s="1"/>
  <c r="P35" i="2"/>
  <c r="P33" i="2" s="1"/>
  <c r="L361" i="1"/>
  <c r="L291" i="1"/>
  <c r="O249" i="1"/>
  <c r="N279" i="1"/>
  <c r="N309" i="1" s="1"/>
  <c r="O234" i="1"/>
  <c r="N264" i="1"/>
  <c r="N294" i="1" s="1"/>
  <c r="H281" i="1"/>
  <c r="H310" i="1"/>
  <c r="H311" i="1" s="1"/>
  <c r="O244" i="1"/>
  <c r="N274" i="1"/>
  <c r="N304" i="1" s="1"/>
  <c r="O253" i="1"/>
  <c r="N321" i="1"/>
  <c r="K299" i="1"/>
  <c r="K275" i="1"/>
  <c r="P235" i="1"/>
  <c r="O265" i="1"/>
  <c r="O295" i="1" s="1"/>
  <c r="I280" i="1"/>
  <c r="I308" i="1"/>
  <c r="O236" i="1"/>
  <c r="N266" i="1"/>
  <c r="N296" i="1" s="1"/>
  <c r="O243" i="1"/>
  <c r="N273" i="1"/>
  <c r="N303" i="1" s="1"/>
  <c r="O246" i="1"/>
  <c r="N276" i="1"/>
  <c r="N306" i="1" s="1"/>
  <c r="C412" i="1"/>
  <c r="C459" i="1"/>
  <c r="M260" i="1"/>
  <c r="M292" i="1"/>
  <c r="M361" i="1"/>
  <c r="M291" i="1"/>
  <c r="M270" i="1"/>
  <c r="M300" i="1" s="1"/>
  <c r="M302" i="1"/>
  <c r="J278" i="1"/>
  <c r="J305" i="1"/>
  <c r="O247" i="1"/>
  <c r="N347" i="1"/>
  <c r="N345" i="1" s="1"/>
  <c r="N349" i="1" s="1"/>
  <c r="N277" i="1"/>
  <c r="N307" i="1" s="1"/>
  <c r="O233" i="1"/>
  <c r="N263" i="1"/>
  <c r="N293" i="1" s="1"/>
  <c r="O237" i="1"/>
  <c r="N267" i="1"/>
  <c r="N297" i="1" s="1"/>
  <c r="O238" i="1"/>
  <c r="N268" i="1"/>
  <c r="N298" i="1" s="1"/>
  <c r="O232" i="1"/>
  <c r="N262" i="1"/>
  <c r="N292" i="1" s="1"/>
  <c r="C463" i="1"/>
  <c r="O242" i="1"/>
  <c r="N272" i="1"/>
  <c r="N302" i="1" s="1"/>
  <c r="L260" i="1"/>
  <c r="O241" i="1"/>
  <c r="N271" i="1"/>
  <c r="O252" i="1"/>
  <c r="N282" i="1"/>
  <c r="N312" i="1" s="1"/>
  <c r="C283" i="1"/>
  <c r="C359" i="1" s="1"/>
  <c r="C281" i="1"/>
  <c r="O231" i="1"/>
  <c r="N323" i="1"/>
  <c r="N261" i="1"/>
  <c r="G53" i="1"/>
  <c r="P168" i="1"/>
  <c r="O169" i="1"/>
  <c r="N176" i="1"/>
  <c r="M177" i="1"/>
  <c r="M162" i="1"/>
  <c r="L163" i="1"/>
  <c r="L170" i="1" s="1"/>
  <c r="D130" i="1"/>
  <c r="C130" i="1" s="1"/>
  <c r="E138" i="1"/>
  <c r="D138" i="1" s="1"/>
  <c r="C138" i="1" s="1"/>
  <c r="E134" i="1"/>
  <c r="D134" i="1" s="1"/>
  <c r="C134" i="1" s="1"/>
  <c r="F45" i="1"/>
  <c r="F54" i="1"/>
  <c r="C23" i="2"/>
  <c r="D64" i="1"/>
  <c r="D23" i="2"/>
  <c r="K23" i="2"/>
  <c r="C333" i="1"/>
  <c r="C350" i="1" s="1"/>
  <c r="C352" i="1" s="1"/>
  <c r="D351" i="1" s="1"/>
  <c r="I322" i="1"/>
  <c r="C310" i="1"/>
  <c r="C311" i="1" s="1"/>
  <c r="I151" i="1"/>
  <c r="C50" i="1"/>
  <c r="D50" i="1"/>
  <c r="C41" i="2" l="1"/>
  <c r="P231" i="1"/>
  <c r="O323" i="1"/>
  <c r="O261" i="1"/>
  <c r="P252" i="1"/>
  <c r="O282" i="1"/>
  <c r="O312" i="1" s="1"/>
  <c r="P232" i="1"/>
  <c r="O262" i="1"/>
  <c r="O292" i="1" s="1"/>
  <c r="P237" i="1"/>
  <c r="O267" i="1"/>
  <c r="O297" i="1" s="1"/>
  <c r="N270" i="1"/>
  <c r="N300" i="1" s="1"/>
  <c r="N301" i="1"/>
  <c r="P242" i="1"/>
  <c r="O272" i="1"/>
  <c r="O302" i="1" s="1"/>
  <c r="P247" i="1"/>
  <c r="O347" i="1"/>
  <c r="O345" i="1" s="1"/>
  <c r="O349" i="1" s="1"/>
  <c r="O277" i="1"/>
  <c r="O307" i="1" s="1"/>
  <c r="M269" i="1"/>
  <c r="M290" i="1"/>
  <c r="M461" i="1" s="1"/>
  <c r="P246" i="1"/>
  <c r="O276" i="1"/>
  <c r="O306" i="1" s="1"/>
  <c r="P236" i="1"/>
  <c r="O266" i="1"/>
  <c r="O296" i="1" s="1"/>
  <c r="Q235" i="1"/>
  <c r="Q265" i="1" s="1"/>
  <c r="Q295" i="1" s="1"/>
  <c r="P265" i="1"/>
  <c r="P295" i="1" s="1"/>
  <c r="P253" i="1"/>
  <c r="O321" i="1"/>
  <c r="P249" i="1"/>
  <c r="O279" i="1"/>
  <c r="O309" i="1" s="1"/>
  <c r="N260" i="1"/>
  <c r="N361" i="1"/>
  <c r="N291" i="1"/>
  <c r="P241" i="1"/>
  <c r="O271" i="1"/>
  <c r="P238" i="1"/>
  <c r="O268" i="1"/>
  <c r="O298" i="1" s="1"/>
  <c r="P233" i="1"/>
  <c r="O263" i="1"/>
  <c r="O293" i="1" s="1"/>
  <c r="K278" i="1"/>
  <c r="K305" i="1"/>
  <c r="L269" i="1"/>
  <c r="L290" i="1"/>
  <c r="L461" i="1" s="1"/>
  <c r="J280" i="1"/>
  <c r="J308" i="1"/>
  <c r="P243" i="1"/>
  <c r="O273" i="1"/>
  <c r="O303" i="1" s="1"/>
  <c r="I281" i="1"/>
  <c r="I310" i="1"/>
  <c r="I311" i="1" s="1"/>
  <c r="P244" i="1"/>
  <c r="O274" i="1"/>
  <c r="O304" i="1" s="1"/>
  <c r="P234" i="1"/>
  <c r="O264" i="1"/>
  <c r="O294" i="1" s="1"/>
  <c r="Q168" i="1"/>
  <c r="P169" i="1"/>
  <c r="N162" i="1"/>
  <c r="M163" i="1"/>
  <c r="M170" i="1" s="1"/>
  <c r="N177" i="1"/>
  <c r="O176" i="1"/>
  <c r="F50" i="1"/>
  <c r="F55" i="1" s="1"/>
  <c r="L23" i="2"/>
  <c r="C313" i="1"/>
  <c r="C397" i="1" s="1"/>
  <c r="J322" i="1"/>
  <c r="D69" i="1"/>
  <c r="D333" i="1"/>
  <c r="D350" i="1" s="1"/>
  <c r="D352" i="1" s="1"/>
  <c r="E351" i="1" s="1"/>
  <c r="D55" i="1"/>
  <c r="C55" i="1"/>
  <c r="N151" i="1"/>
  <c r="C64" i="1"/>
  <c r="F64" i="1" s="1"/>
  <c r="Q244" i="1" l="1"/>
  <c r="Q274" i="1" s="1"/>
  <c r="Q304" i="1" s="1"/>
  <c r="P274" i="1"/>
  <c r="P304" i="1" s="1"/>
  <c r="Q243" i="1"/>
  <c r="Q273" i="1" s="1"/>
  <c r="Q303" i="1" s="1"/>
  <c r="P273" i="1"/>
  <c r="P303" i="1" s="1"/>
  <c r="L299" i="1"/>
  <c r="L275" i="1"/>
  <c r="Q233" i="1"/>
  <c r="Q263" i="1" s="1"/>
  <c r="Q293" i="1" s="1"/>
  <c r="P263" i="1"/>
  <c r="P293" i="1" s="1"/>
  <c r="Q241" i="1"/>
  <c r="Q271" i="1" s="1"/>
  <c r="Q301" i="1" s="1"/>
  <c r="P271" i="1"/>
  <c r="P301" i="1" s="1"/>
  <c r="Q242" i="1"/>
  <c r="Q272" i="1" s="1"/>
  <c r="P272" i="1"/>
  <c r="Q237" i="1"/>
  <c r="Q267" i="1" s="1"/>
  <c r="Q297" i="1" s="1"/>
  <c r="P267" i="1"/>
  <c r="P297" i="1" s="1"/>
  <c r="Q252" i="1"/>
  <c r="Q282" i="1" s="1"/>
  <c r="Q312" i="1" s="1"/>
  <c r="P282" i="1"/>
  <c r="P312" i="1" s="1"/>
  <c r="Q249" i="1"/>
  <c r="Q279" i="1" s="1"/>
  <c r="Q309" i="1" s="1"/>
  <c r="P279" i="1"/>
  <c r="P309" i="1" s="1"/>
  <c r="Q246" i="1"/>
  <c r="Q276" i="1" s="1"/>
  <c r="Q306" i="1" s="1"/>
  <c r="P276" i="1"/>
  <c r="P306" i="1" s="1"/>
  <c r="O260" i="1"/>
  <c r="O361" i="1"/>
  <c r="O291" i="1"/>
  <c r="Q234" i="1"/>
  <c r="Q264" i="1" s="1"/>
  <c r="Q294" i="1" s="1"/>
  <c r="P264" i="1"/>
  <c r="P294" i="1" s="1"/>
  <c r="J281" i="1"/>
  <c r="J310" i="1"/>
  <c r="J311" i="1" s="1"/>
  <c r="K280" i="1"/>
  <c r="K308" i="1"/>
  <c r="Q238" i="1"/>
  <c r="Q268" i="1" s="1"/>
  <c r="Q298" i="1" s="1"/>
  <c r="P268" i="1"/>
  <c r="P298" i="1" s="1"/>
  <c r="Q247" i="1"/>
  <c r="P347" i="1"/>
  <c r="P345" i="1" s="1"/>
  <c r="P349" i="1" s="1"/>
  <c r="P277" i="1"/>
  <c r="P307" i="1" s="1"/>
  <c r="Q232" i="1"/>
  <c r="Q262" i="1" s="1"/>
  <c r="P262" i="1"/>
  <c r="O270" i="1"/>
  <c r="O300" i="1" s="1"/>
  <c r="O301" i="1"/>
  <c r="N269" i="1"/>
  <c r="N290" i="1"/>
  <c r="N461" i="1" s="1"/>
  <c r="Q253" i="1"/>
  <c r="Q321" i="1" s="1"/>
  <c r="P321" i="1"/>
  <c r="Q236" i="1"/>
  <c r="Q266" i="1" s="1"/>
  <c r="Q296" i="1" s="1"/>
  <c r="P266" i="1"/>
  <c r="P296" i="1" s="1"/>
  <c r="M299" i="1"/>
  <c r="M275" i="1"/>
  <c r="Q231" i="1"/>
  <c r="P323" i="1"/>
  <c r="P261" i="1"/>
  <c r="Q169" i="1"/>
  <c r="P176" i="1"/>
  <c r="O177" i="1"/>
  <c r="O162" i="1"/>
  <c r="N163" i="1"/>
  <c r="N170" i="1" s="1"/>
  <c r="M23" i="2"/>
  <c r="D151" i="1"/>
  <c r="D375" i="1" s="1"/>
  <c r="C151" i="1"/>
  <c r="C413" i="1" s="1"/>
  <c r="G68" i="1"/>
  <c r="I413" i="1"/>
  <c r="I375" i="1"/>
  <c r="E333" i="1"/>
  <c r="E350" i="1" s="1"/>
  <c r="E352" i="1" s="1"/>
  <c r="F351" i="1" s="1"/>
  <c r="K322" i="1"/>
  <c r="C409" i="1"/>
  <c r="C371" i="1"/>
  <c r="D415" i="1"/>
  <c r="D425" i="1" s="1"/>
  <c r="D377" i="1"/>
  <c r="D387" i="1" s="1"/>
  <c r="P260" i="1" l="1"/>
  <c r="P292" i="1"/>
  <c r="Q347" i="1"/>
  <c r="Q345" i="1" s="1"/>
  <c r="Q349" i="1" s="1"/>
  <c r="Q277" i="1"/>
  <c r="Q307" i="1" s="1"/>
  <c r="K281" i="1"/>
  <c r="K310" i="1"/>
  <c r="K311" i="1" s="1"/>
  <c r="P270" i="1"/>
  <c r="P300" i="1" s="1"/>
  <c r="P302" i="1"/>
  <c r="N299" i="1"/>
  <c r="N275" i="1"/>
  <c r="Q292" i="1"/>
  <c r="Q270" i="1"/>
  <c r="Q300" i="1" s="1"/>
  <c r="Q302" i="1"/>
  <c r="Q323" i="1"/>
  <c r="Q261" i="1"/>
  <c r="M278" i="1"/>
  <c r="M305" i="1"/>
  <c r="L278" i="1"/>
  <c r="L305" i="1"/>
  <c r="P361" i="1"/>
  <c r="P291" i="1"/>
  <c r="O269" i="1"/>
  <c r="O290" i="1"/>
  <c r="O461" i="1" s="1"/>
  <c r="P162" i="1"/>
  <c r="O163" i="1"/>
  <c r="O170" i="1" s="1"/>
  <c r="Q176" i="1"/>
  <c r="Q177" i="1" s="1"/>
  <c r="P177" i="1"/>
  <c r="D413" i="1"/>
  <c r="N23" i="2"/>
  <c r="C445" i="1"/>
  <c r="C375" i="1"/>
  <c r="C415" i="1"/>
  <c r="C425" i="1" s="1"/>
  <c r="C426" i="1" s="1"/>
  <c r="C428" i="1" s="1"/>
  <c r="D427" i="1" s="1"/>
  <c r="L322" i="1"/>
  <c r="F333" i="1"/>
  <c r="F350" i="1" s="1"/>
  <c r="F352" i="1" s="1"/>
  <c r="G351" i="1" s="1"/>
  <c r="N413" i="1"/>
  <c r="N375" i="1"/>
  <c r="C69" i="1"/>
  <c r="G67" i="1"/>
  <c r="Q361" i="1" l="1"/>
  <c r="Q291" i="1"/>
  <c r="C450" i="1"/>
  <c r="C22" i="2" s="1"/>
  <c r="C28" i="2" s="1"/>
  <c r="C38" i="2" s="1"/>
  <c r="O299" i="1"/>
  <c r="O275" i="1"/>
  <c r="L280" i="1"/>
  <c r="L308" i="1"/>
  <c r="Q260" i="1"/>
  <c r="N278" i="1"/>
  <c r="N305" i="1"/>
  <c r="M280" i="1"/>
  <c r="M308" i="1"/>
  <c r="P269" i="1"/>
  <c r="P290" i="1"/>
  <c r="P461" i="1" s="1"/>
  <c r="Q162" i="1"/>
  <c r="Q163" i="1" s="1"/>
  <c r="Q170" i="1" s="1"/>
  <c r="P163" i="1"/>
  <c r="P170" i="1" s="1"/>
  <c r="F69" i="1"/>
  <c r="G69" i="1" s="1"/>
  <c r="O23" i="2"/>
  <c r="C377" i="1"/>
  <c r="C387" i="1" s="1"/>
  <c r="C388" i="1" s="1"/>
  <c r="C390" i="1" s="1"/>
  <c r="D389" i="1" s="1"/>
  <c r="G333" i="1"/>
  <c r="G350" i="1" s="1"/>
  <c r="G352" i="1" s="1"/>
  <c r="H351" i="1" s="1"/>
  <c r="M322" i="1"/>
  <c r="L281" i="1" l="1"/>
  <c r="L310" i="1"/>
  <c r="L311" i="1" s="1"/>
  <c r="M281" i="1"/>
  <c r="M310" i="1"/>
  <c r="M311" i="1" s="1"/>
  <c r="N280" i="1"/>
  <c r="N308" i="1"/>
  <c r="O278" i="1"/>
  <c r="O305" i="1"/>
  <c r="P299" i="1"/>
  <c r="P275" i="1"/>
  <c r="Q269" i="1"/>
  <c r="Q290" i="1"/>
  <c r="Q461" i="1" s="1"/>
  <c r="C465" i="1" s="1"/>
  <c r="C467" i="1" s="1"/>
  <c r="C469" i="1" s="1"/>
  <c r="C471" i="1" s="1"/>
  <c r="C473" i="1" s="1"/>
  <c r="P23" i="2"/>
  <c r="H333" i="1"/>
  <c r="H350" i="1" s="1"/>
  <c r="H352" i="1" s="1"/>
  <c r="I351" i="1" s="1"/>
  <c r="N322" i="1"/>
  <c r="O280" i="1" l="1"/>
  <c r="O308" i="1"/>
  <c r="Q299" i="1"/>
  <c r="Q275" i="1"/>
  <c r="P278" i="1"/>
  <c r="P305" i="1"/>
  <c r="N281" i="1"/>
  <c r="N310" i="1"/>
  <c r="N311" i="1" s="1"/>
  <c r="E381" i="1"/>
  <c r="E197" i="1" s="1"/>
  <c r="C474" i="1"/>
  <c r="Q23" i="2"/>
  <c r="O322" i="1"/>
  <c r="I333" i="1"/>
  <c r="I350" i="1" s="1"/>
  <c r="I352" i="1" s="1"/>
  <c r="J351" i="1" s="1"/>
  <c r="D360" i="1"/>
  <c r="D398" i="1"/>
  <c r="E360" i="1"/>
  <c r="E398" i="1"/>
  <c r="Q278" i="1" l="1"/>
  <c r="Q305" i="1"/>
  <c r="E419" i="1"/>
  <c r="E415" i="1" s="1"/>
  <c r="E425" i="1" s="1"/>
  <c r="E377" i="1"/>
  <c r="E387" i="1" s="1"/>
  <c r="P280" i="1"/>
  <c r="P308" i="1"/>
  <c r="O281" i="1"/>
  <c r="O310" i="1"/>
  <c r="O311" i="1" s="1"/>
  <c r="J333" i="1"/>
  <c r="J350" i="1" s="1"/>
  <c r="J352" i="1" s="1"/>
  <c r="K351" i="1" s="1"/>
  <c r="F360" i="1"/>
  <c r="F398" i="1"/>
  <c r="P322" i="1"/>
  <c r="P281" i="1" l="1"/>
  <c r="P310" i="1"/>
  <c r="P311" i="1" s="1"/>
  <c r="Q280" i="1"/>
  <c r="Q308" i="1"/>
  <c r="D445" i="1"/>
  <c r="K333" i="1"/>
  <c r="K350" i="1" s="1"/>
  <c r="K352" i="1" s="1"/>
  <c r="L351" i="1" s="1"/>
  <c r="G360" i="1"/>
  <c r="G398" i="1"/>
  <c r="Q322" i="1"/>
  <c r="Q281" i="1" l="1"/>
  <c r="Q310" i="1"/>
  <c r="Q311" i="1" s="1"/>
  <c r="D450" i="1"/>
  <c r="D22" i="2" s="1"/>
  <c r="D28" i="2" s="1"/>
  <c r="D38" i="2" s="1"/>
  <c r="E445" i="1"/>
  <c r="L333" i="1"/>
  <c r="L350" i="1" s="1"/>
  <c r="L352" i="1" s="1"/>
  <c r="M351" i="1" s="1"/>
  <c r="H360" i="1"/>
  <c r="H398" i="1"/>
  <c r="E450" i="1" l="1"/>
  <c r="E22" i="2" s="1"/>
  <c r="E28" i="2" s="1"/>
  <c r="E38" i="2" s="1"/>
  <c r="F445" i="1"/>
  <c r="G445" i="1"/>
  <c r="M333" i="1"/>
  <c r="M350" i="1" s="1"/>
  <c r="M352" i="1" s="1"/>
  <c r="N351" i="1" s="1"/>
  <c r="I360" i="1"/>
  <c r="I398" i="1"/>
  <c r="E283" i="1"/>
  <c r="E359" i="1" s="1"/>
  <c r="D283" i="1"/>
  <c r="D359" i="1" s="1"/>
  <c r="G450" i="1" l="1"/>
  <c r="G22" i="2" s="1"/>
  <c r="G28" i="2" s="1"/>
  <c r="G38" i="2" s="1"/>
  <c r="F450" i="1"/>
  <c r="F22" i="2" s="1"/>
  <c r="F28" i="2" s="1"/>
  <c r="F38" i="2" s="1"/>
  <c r="N333" i="1"/>
  <c r="N350" i="1" s="1"/>
  <c r="N352" i="1" s="1"/>
  <c r="O351" i="1" s="1"/>
  <c r="J360" i="1"/>
  <c r="J398" i="1"/>
  <c r="F283" i="1"/>
  <c r="F359" i="1" s="1"/>
  <c r="H445" i="1" l="1"/>
  <c r="E313" i="1"/>
  <c r="O333" i="1"/>
  <c r="O350" i="1" s="1"/>
  <c r="O352" i="1" s="1"/>
  <c r="P351" i="1" s="1"/>
  <c r="K360" i="1"/>
  <c r="K398" i="1"/>
  <c r="D313" i="1"/>
  <c r="G283" i="1"/>
  <c r="G359" i="1" s="1"/>
  <c r="H450" i="1" l="1"/>
  <c r="H22" i="2" s="1"/>
  <c r="H28" i="2" s="1"/>
  <c r="H38" i="2" s="1"/>
  <c r="I445" i="1"/>
  <c r="F313" i="1"/>
  <c r="P333" i="1"/>
  <c r="P350" i="1" s="1"/>
  <c r="P352" i="1" s="1"/>
  <c r="Q351" i="1" s="1"/>
  <c r="L360" i="1"/>
  <c r="L398" i="1"/>
  <c r="D409" i="1"/>
  <c r="D426" i="1" s="1"/>
  <c r="D428" i="1" s="1"/>
  <c r="E427" i="1" s="1"/>
  <c r="D371" i="1"/>
  <c r="D388" i="1" s="1"/>
  <c r="D390" i="1" s="1"/>
  <c r="E389" i="1" s="1"/>
  <c r="E409" i="1"/>
  <c r="E426" i="1" s="1"/>
  <c r="E371" i="1"/>
  <c r="E388" i="1" s="1"/>
  <c r="H283" i="1"/>
  <c r="H359" i="1" s="1"/>
  <c r="I28" i="2" l="1"/>
  <c r="I38" i="2" s="1"/>
  <c r="I450" i="1"/>
  <c r="I22" i="2" s="1"/>
  <c r="J445" i="1"/>
  <c r="E390" i="1"/>
  <c r="F389" i="1" s="1"/>
  <c r="E428" i="1"/>
  <c r="F427" i="1" s="1"/>
  <c r="Q333" i="1"/>
  <c r="Q350" i="1" s="1"/>
  <c r="Q352" i="1" s="1"/>
  <c r="F409" i="1"/>
  <c r="F426" i="1" s="1"/>
  <c r="F371" i="1"/>
  <c r="F388" i="1" s="1"/>
  <c r="G313" i="1"/>
  <c r="M360" i="1"/>
  <c r="M398" i="1"/>
  <c r="I283" i="1"/>
  <c r="I359" i="1" s="1"/>
  <c r="J450" i="1" l="1"/>
  <c r="J22" i="2" s="1"/>
  <c r="J28" i="2" s="1"/>
  <c r="J38" i="2" s="1"/>
  <c r="K445" i="1"/>
  <c r="F390" i="1"/>
  <c r="G389" i="1" s="1"/>
  <c r="L445" i="1"/>
  <c r="F428" i="1"/>
  <c r="G427" i="1" s="1"/>
  <c r="H313" i="1"/>
  <c r="G409" i="1"/>
  <c r="G426" i="1" s="1"/>
  <c r="G371" i="1"/>
  <c r="G388" i="1" s="1"/>
  <c r="N360" i="1"/>
  <c r="N398" i="1"/>
  <c r="J283" i="1"/>
  <c r="J359" i="1" s="1"/>
  <c r="K450" i="1" l="1"/>
  <c r="K22" i="2" s="1"/>
  <c r="K28" i="2" s="1"/>
  <c r="K38" i="2" s="1"/>
  <c r="L450" i="1"/>
  <c r="L22" i="2" s="1"/>
  <c r="L28" i="2" s="1"/>
  <c r="L38" i="2" s="1"/>
  <c r="G390" i="1"/>
  <c r="H389" i="1" s="1"/>
  <c r="G428" i="1"/>
  <c r="H427" i="1" s="1"/>
  <c r="O360" i="1"/>
  <c r="O398" i="1"/>
  <c r="I313" i="1"/>
  <c r="H409" i="1"/>
  <c r="H426" i="1" s="1"/>
  <c r="H371" i="1"/>
  <c r="H388" i="1" s="1"/>
  <c r="K283" i="1"/>
  <c r="K359" i="1" s="1"/>
  <c r="H390" i="1" l="1"/>
  <c r="I389" i="1" s="1"/>
  <c r="H428" i="1"/>
  <c r="I427" i="1" s="1"/>
  <c r="M445" i="1"/>
  <c r="J313" i="1"/>
  <c r="P360" i="1"/>
  <c r="P398" i="1"/>
  <c r="I409" i="1"/>
  <c r="I426" i="1" s="1"/>
  <c r="I371" i="1"/>
  <c r="I388" i="1" s="1"/>
  <c r="L283" i="1"/>
  <c r="L359" i="1" s="1"/>
  <c r="M450" i="1" l="1"/>
  <c r="M22" i="2" s="1"/>
  <c r="M28" i="2" s="1"/>
  <c r="M38" i="2" s="1"/>
  <c r="I390" i="1"/>
  <c r="J389" i="1" s="1"/>
  <c r="I428" i="1"/>
  <c r="J427" i="1" s="1"/>
  <c r="N445" i="1"/>
  <c r="K313" i="1"/>
  <c r="Q360" i="1"/>
  <c r="Q398" i="1"/>
  <c r="J409" i="1"/>
  <c r="J426" i="1" s="1"/>
  <c r="J371" i="1"/>
  <c r="J388" i="1" s="1"/>
  <c r="M283" i="1"/>
  <c r="M359" i="1" s="1"/>
  <c r="N28" i="2" l="1"/>
  <c r="N38" i="2" s="1"/>
  <c r="N450" i="1"/>
  <c r="N22" i="2" s="1"/>
  <c r="J390" i="1"/>
  <c r="K389" i="1" s="1"/>
  <c r="J428" i="1"/>
  <c r="K427" i="1" s="1"/>
  <c r="O445" i="1"/>
  <c r="K409" i="1"/>
  <c r="K426" i="1" s="1"/>
  <c r="K371" i="1"/>
  <c r="K388" i="1" s="1"/>
  <c r="L313" i="1"/>
  <c r="N283" i="1"/>
  <c r="N359" i="1" s="1"/>
  <c r="O450" i="1" l="1"/>
  <c r="O22" i="2" s="1"/>
  <c r="O28" i="2" s="1"/>
  <c r="O38" i="2" s="1"/>
  <c r="K390" i="1"/>
  <c r="L389" i="1" s="1"/>
  <c r="K428" i="1"/>
  <c r="L427" i="1" s="1"/>
  <c r="P445" i="1"/>
  <c r="M313" i="1"/>
  <c r="L409" i="1"/>
  <c r="L426" i="1" s="1"/>
  <c r="L371" i="1"/>
  <c r="L388" i="1" s="1"/>
  <c r="O283" i="1"/>
  <c r="O359" i="1" s="1"/>
  <c r="P450" i="1" l="1"/>
  <c r="P22" i="2" s="1"/>
  <c r="P28" i="2" s="1"/>
  <c r="P38" i="2" s="1"/>
  <c r="L428" i="1"/>
  <c r="M427" i="1" s="1"/>
  <c r="L390" i="1"/>
  <c r="M389" i="1" s="1"/>
  <c r="Q445" i="1"/>
  <c r="N313" i="1"/>
  <c r="M409" i="1"/>
  <c r="M426" i="1" s="1"/>
  <c r="M371" i="1"/>
  <c r="M388" i="1" s="1"/>
  <c r="P283" i="1"/>
  <c r="P359" i="1" s="1"/>
  <c r="M390" i="1" l="1"/>
  <c r="N389" i="1" s="1"/>
  <c r="Q450" i="1"/>
  <c r="Q22" i="2" s="1"/>
  <c r="Q28" i="2" s="1"/>
  <c r="Q38" i="2" s="1"/>
  <c r="M428" i="1"/>
  <c r="N427" i="1" s="1"/>
  <c r="O313" i="1"/>
  <c r="N409" i="1"/>
  <c r="N426" i="1" s="1"/>
  <c r="N371" i="1"/>
  <c r="N388" i="1" s="1"/>
  <c r="Q283" i="1"/>
  <c r="Q359" i="1" s="1"/>
  <c r="N390" i="1" l="1"/>
  <c r="O389" i="1" s="1"/>
  <c r="C40" i="2"/>
  <c r="C39" i="2"/>
  <c r="C453" i="1"/>
  <c r="C452" i="1"/>
  <c r="N428" i="1"/>
  <c r="O427" i="1" s="1"/>
  <c r="O409" i="1"/>
  <c r="O426" i="1" s="1"/>
  <c r="O371" i="1"/>
  <c r="O388" i="1" s="1"/>
  <c r="P313" i="1"/>
  <c r="O390" i="1" l="1"/>
  <c r="P389" i="1" s="1"/>
  <c r="O428" i="1"/>
  <c r="P427" i="1" s="1"/>
  <c r="Q313" i="1"/>
  <c r="P409" i="1"/>
  <c r="P426" i="1" s="1"/>
  <c r="P371" i="1"/>
  <c r="P388" i="1" s="1"/>
  <c r="P390" i="1" s="1"/>
  <c r="Q389" i="1" s="1"/>
  <c r="P428" i="1" l="1"/>
  <c r="Q427" i="1" s="1"/>
  <c r="Q409" i="1"/>
  <c r="Q426" i="1" s="1"/>
  <c r="C434" i="1" s="1"/>
  <c r="D434" i="1" s="1"/>
  <c r="J434" i="1" s="1"/>
  <c r="K434" i="1" s="1"/>
  <c r="Q371" i="1"/>
  <c r="Q388" i="1" s="1"/>
  <c r="Q390" i="1" s="1"/>
  <c r="Q428" i="1" l="1"/>
</calcChain>
</file>

<file path=xl/sharedStrings.xml><?xml version="1.0" encoding="utf-8"?>
<sst xmlns="http://schemas.openxmlformats.org/spreadsheetml/2006/main" count="522" uniqueCount="252">
  <si>
    <t>Nakłady inwestycyjne</t>
  </si>
  <si>
    <t>1. Roboty budowlane</t>
  </si>
  <si>
    <t>2. Nadzór inwestorski</t>
  </si>
  <si>
    <t>4. Promocja projektu</t>
  </si>
  <si>
    <t xml:space="preserve">  - koszty kwalifikowalne netto</t>
  </si>
  <si>
    <t xml:space="preserve">  - koszty niekwalifikowalne netto</t>
  </si>
  <si>
    <t>Kwalifikowalność VAT</t>
  </si>
  <si>
    <t>T</t>
  </si>
  <si>
    <t>N</t>
  </si>
  <si>
    <t>5. Razem</t>
  </si>
  <si>
    <t>6. Razem - kwalifikowalne / niekwalifikowalne</t>
  </si>
  <si>
    <t>Koszty kwalifikowalne</t>
  </si>
  <si>
    <t>Koszty niekwalifikowalne</t>
  </si>
  <si>
    <t>Kategoria</t>
  </si>
  <si>
    <t xml:space="preserve">   - VAT od kosztów kwalifikowalnych (23%)</t>
  </si>
  <si>
    <t xml:space="preserve">   - VAT od kosztów niekwalifikowalnych (23%)</t>
  </si>
  <si>
    <t>Razem</t>
  </si>
  <si>
    <t xml:space="preserve">   - VAT kwalifikowalny</t>
  </si>
  <si>
    <t xml:space="preserve">   - VAT niekwalifikowalny</t>
  </si>
  <si>
    <t>Wnioskowany poziom dofinansowania</t>
  </si>
  <si>
    <t xml:space="preserve">  2. Dotacja UE</t>
  </si>
  <si>
    <t xml:space="preserve">  1. Środki własne kwalifikowalne</t>
  </si>
  <si>
    <t xml:space="preserve">  3. Środki własne niekwalifikowalne</t>
  </si>
  <si>
    <t>Struktura finansowania projektu</t>
  </si>
  <si>
    <t>Data</t>
  </si>
  <si>
    <t>Kurs</t>
  </si>
  <si>
    <t>Kurs średni (6 m-cy)</t>
  </si>
  <si>
    <t>Wartość kosztów kwalifikowalnych PLN</t>
  </si>
  <si>
    <t>Wartość kosztów kwalifikowalnych EUR</t>
  </si>
  <si>
    <t>A. Przychody netto ze sprzedaży produktów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</si>
  <si>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</si>
  <si>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</si>
  <si>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</si>
  <si>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</si>
  <si>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</si>
  <si>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</si>
  <si>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</si>
  <si>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</si>
  <si>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</si>
  <si>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</si>
  <si>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</si>
  <si>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</si>
  <si>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</si>
  <si>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</si>
  <si>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</si>
  <si>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</si>
  <si>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</si>
  <si>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</si>
  <si>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</si>
  <si>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</t>
  </si>
  <si>
    <t>K. Zysk (strata) brutto (I±J)</t>
  </si>
  <si>
    <t>L. Podatek dochodowy</t>
  </si>
  <si>
    <t>M. Pozostałe obowiązkowe zmniejszenia zysku (zwiększenia straty)</t>
  </si>
  <si>
    <t>N. Zysk (strata) netto (K-L-M)</t>
  </si>
  <si>
    <t xml:space="preserve">    - stopa dofinansowania kosztów kwalifikowalnych</t>
  </si>
  <si>
    <t xml:space="preserve">    - stopa dofinansowania kosztów ogółem</t>
  </si>
  <si>
    <t>Rachunek zysków i strat</t>
  </si>
  <si>
    <t>Rachunek zysków i strat (wariant porównawczy)</t>
  </si>
  <si>
    <t>Wartość projektu (EUR)</t>
  </si>
  <si>
    <t>Źródła finansowania projektu</t>
  </si>
  <si>
    <t>Harmonogram rzeczowo-finansowy (PLN)</t>
  </si>
  <si>
    <t>Zestawienie efektów projektu</t>
  </si>
  <si>
    <t>Efekt</t>
  </si>
  <si>
    <t>Wartość</t>
  </si>
  <si>
    <t>Kalkulacja wskaźnika DGC</t>
  </si>
  <si>
    <t>W1</t>
  </si>
  <si>
    <t>W2</t>
  </si>
  <si>
    <t>W3</t>
  </si>
  <si>
    <t>W4</t>
  </si>
  <si>
    <t>Razem zdyskontowane</t>
  </si>
  <si>
    <t>Plan finansowy</t>
  </si>
  <si>
    <t>1. Nakłady inwestycyjne</t>
  </si>
  <si>
    <t>2. Nakłady odtworzeniowe (5%)</t>
  </si>
  <si>
    <t>Założenia</t>
  </si>
  <si>
    <t>Amortyzacja</t>
  </si>
  <si>
    <t>Amortyzacja roczna</t>
  </si>
  <si>
    <t>Umorzenie</t>
  </si>
  <si>
    <t>Wartość brutto środka trwałego</t>
  </si>
  <si>
    <t>Wartość netto środka trwałego</t>
  </si>
  <si>
    <t>Plan amortyzacji - Projekt</t>
  </si>
  <si>
    <t>Rozliczenie dotacji UE</t>
  </si>
  <si>
    <t>Wpłwy dotacji</t>
  </si>
  <si>
    <t>Dotacja narastająco</t>
  </si>
  <si>
    <t>Rozliczenie dotacji w czasie</t>
  </si>
  <si>
    <t>Wartość rezydualna</t>
  </si>
  <si>
    <t>Finansowa wartość rezydualna</t>
  </si>
  <si>
    <t>Liczba lat funkcjonowania projektu poza okresem referencyjnym</t>
  </si>
  <si>
    <t>Ekonomiczna wartość rezydualna</t>
  </si>
  <si>
    <t>Rachunek zysków i strat - Podmiot bez projektu</t>
  </si>
  <si>
    <t>Przychody operacyjne projektu</t>
  </si>
  <si>
    <t>Przychody Projektu</t>
  </si>
  <si>
    <t>Koszty operacyjne i finansowe projektu</t>
  </si>
  <si>
    <t>Koszty finansowe</t>
  </si>
  <si>
    <t>Rachunek zysków i strat - Podmiot z projektem</t>
  </si>
  <si>
    <t>Rachunek zysków i strat - Projekt UE</t>
  </si>
  <si>
    <t>Przepływy środków pieniężnych z działalności operacyjnej</t>
  </si>
  <si>
    <t>Zysk/Strata netto</t>
  </si>
  <si>
    <t>Korekty razem</t>
  </si>
  <si>
    <t>Zyski/Straty z tyt. różnic kursowych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</si>
  <si>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</si>
  <si>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</si>
  <si>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</si>
  <si>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</si>
  <si>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</si>
  <si>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</si>
  <si>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</si>
  <si>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</si>
  <si>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</si>
  <si>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</si>
  <si>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</si>
  <si>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</si>
  <si>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</si>
  <si>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</si>
  <si>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</si>
  <si>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</si>
  <si>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</si>
  <si>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Dotacje, środki własne na pokrycie inwestycji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</si>
  <si>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</si>
  <si>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</si>
  <si>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</si>
  <si>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</si>
  <si>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</si>
  <si>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</si>
  <si>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</si>
  <si>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</si>
  <si>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>Rachunek przepływów pieniężnych - Podmiot bez projektu</t>
  </si>
  <si>
    <t>Rachunek przepływów pieniężnych</t>
  </si>
  <si>
    <t>Rachunek przepływów pieniężnych - Podmiot z Projektem</t>
  </si>
  <si>
    <t>Rachunek przepływów pieniężnych - Projekt</t>
  </si>
  <si>
    <t>Przepływy pieniężne w ostatnim roku analizy</t>
  </si>
  <si>
    <t>Wskaźniki efektywności finansowej Projektu</t>
  </si>
  <si>
    <t>FNPV/C, FRR/C</t>
  </si>
  <si>
    <t xml:space="preserve">  - przychody</t>
  </si>
  <si>
    <t xml:space="preserve">  - wartość rezydualna</t>
  </si>
  <si>
    <t xml:space="preserve">  - nakłady inwestycyjne</t>
  </si>
  <si>
    <t xml:space="preserve">  - koszty operacyjne</t>
  </si>
  <si>
    <t xml:space="preserve">  - nakłady odtworzeniowe</t>
  </si>
  <si>
    <t>Przepływ pieniężny netto</t>
  </si>
  <si>
    <t>Finansowa zaktualizowana wartość netto z inwestycji (FNPV/C)</t>
  </si>
  <si>
    <t>Finansowa wewnętrzna stopa zwrotu z inwestycji (FRR/C)</t>
  </si>
  <si>
    <t>Luka finansowa</t>
  </si>
  <si>
    <t>Analiza luki finansowej</t>
  </si>
  <si>
    <t>Przychody</t>
  </si>
  <si>
    <t>Koszty operacyjne i nakłady odtworzeniowe</t>
  </si>
  <si>
    <t>Suma zdyskontowanych nakładów inwestycyjnych (DIC)</t>
  </si>
  <si>
    <t>Suma zdyskontowanych przychodów</t>
  </si>
  <si>
    <t>Zdyskontowana wartość rezydualna</t>
  </si>
  <si>
    <t>Maksymalny wydatek kwalifikowany (MaxEE)</t>
  </si>
  <si>
    <t xml:space="preserve">Wskaźnik luki w finansowaniu (R) </t>
  </si>
  <si>
    <t>Koszty kwalifikowane (niezdyskontowane) (EC)</t>
  </si>
  <si>
    <t>Kwota decyzji (DA)</t>
  </si>
  <si>
    <t>Maksymalna wielkość współfinansowania (Max CRpa)</t>
  </si>
  <si>
    <t>Maksymalna dotacja UE</t>
  </si>
  <si>
    <t>Suma zdyskontowanych kosztów operacyjnych i nakładów odtworzeniowych</t>
  </si>
  <si>
    <t>Suma zdyskontowanych dochodów projektu (DNR)</t>
  </si>
  <si>
    <t>Rzeczywisty poziom dofinansowania kosztów kwalifikowalnych</t>
  </si>
  <si>
    <t>Stopa dyskonta - analiza finansowa</t>
  </si>
  <si>
    <t>Stopa dyskonta - analiza ekonomiczna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</si>
  <si>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</si>
  <si>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</si>
  <si>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</si>
  <si>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</si>
  <si>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</si>
  <si>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</si>
  <si>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</si>
  <si>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</si>
  <si>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</si>
  <si>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</si>
  <si>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</si>
  <si>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</si>
  <si>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</si>
  <si>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</si>
  <si>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</si>
  <si>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</si>
  <si>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</si>
  <si>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</si>
  <si>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</si>
  <si>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</si>
  <si>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</si>
  <si>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</si>
  <si>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</si>
  <si>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</si>
  <si>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</si>
  <si>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Korzyści społeczne</t>
  </si>
  <si>
    <t>Koszty społeczne</t>
  </si>
  <si>
    <t>Przepływy pieniężne z analizy finansowej</t>
  </si>
  <si>
    <t>Korekty fiskalne</t>
  </si>
  <si>
    <t xml:space="preserve"> - korekta o VAT - nakłady inwestycyjne</t>
  </si>
  <si>
    <t>Przepływy pieniężne po korektach</t>
  </si>
  <si>
    <t>Koszty ekonomiczne</t>
  </si>
  <si>
    <t>Korzyści ekonomiczne</t>
  </si>
  <si>
    <t>Ekonomiczne przepływy pieniężne</t>
  </si>
  <si>
    <t>Ekonomiczna zaktualizowana wartość netto (ENPV)</t>
  </si>
  <si>
    <t>Ekonomiczna wewnętrzna stopa zwrotu (ERR)</t>
  </si>
  <si>
    <t>B/C</t>
  </si>
  <si>
    <t>Koszty operacyjne</t>
  </si>
  <si>
    <t>Badane zmienne</t>
  </si>
  <si>
    <t>+20%</t>
  </si>
  <si>
    <t>0%</t>
  </si>
  <si>
    <t>-20%</t>
  </si>
  <si>
    <t>FNPV</t>
  </si>
  <si>
    <t>ENPV</t>
  </si>
  <si>
    <t>zmiana</t>
  </si>
  <si>
    <t>Analiza wrażliwości - FNPV</t>
  </si>
  <si>
    <t>Wyniki</t>
  </si>
  <si>
    <t>wynik</t>
  </si>
  <si>
    <t>Analiza wrażliwości - ENPV</t>
  </si>
  <si>
    <t>Zmiana korzyści ekonomicznych</t>
  </si>
  <si>
    <t>Zmiana kosztów ekonomicznych</t>
  </si>
  <si>
    <t xml:space="preserve"> -</t>
  </si>
  <si>
    <t>3. Zakup urządzeń 1</t>
  </si>
  <si>
    <t>4. Zakup urządzeń 2</t>
  </si>
  <si>
    <t>grudzień 2016</t>
  </si>
  <si>
    <t>styczeń 2017</t>
  </si>
  <si>
    <t>luty 2017</t>
  </si>
  <si>
    <t>marzec 2017</t>
  </si>
  <si>
    <t>kwiecień 2017</t>
  </si>
  <si>
    <t>maj 2017</t>
  </si>
  <si>
    <t>Liczba obsługiwanych pacjentów</t>
  </si>
  <si>
    <t>Miara rezultatu - obsługiwana liczba pacjentów</t>
  </si>
  <si>
    <t>DGC</t>
  </si>
  <si>
    <t xml:space="preserve"> - korekta o VAT</t>
  </si>
  <si>
    <t>Amortyzacja - budynek</t>
  </si>
  <si>
    <t>Amortyzacja - urządzenia 1</t>
  </si>
  <si>
    <t>Amortyzacja - urządzenia 2</t>
  </si>
  <si>
    <t>Amortyzacja - wartości niematerialne i prawne</t>
  </si>
  <si>
    <t>5. Zakup wartości niematerialnych i prawnych</t>
  </si>
  <si>
    <t xml:space="preserve">   - VAT od kosztów kwalifikowalnych (8%)</t>
  </si>
  <si>
    <t xml:space="preserve">   - VAT od kosztów niekwalifikowalnych (8%)</t>
  </si>
  <si>
    <t>Budynek</t>
  </si>
  <si>
    <t>Urządzenia 1</t>
  </si>
  <si>
    <t>Urządzenia 2</t>
  </si>
  <si>
    <t>Wartości niematerialne i prawne</t>
  </si>
  <si>
    <t>Liczba miesięcy użytkowania</t>
  </si>
  <si>
    <t>Nakłady odtworzeniowe</t>
  </si>
  <si>
    <t>Nakłady odtworzeniowe (5%)</t>
  </si>
  <si>
    <t>Wartość netto środka trwałego odtworzonego</t>
  </si>
  <si>
    <t>Prognoza kredytu</t>
  </si>
  <si>
    <t>Kwota kredytu</t>
  </si>
  <si>
    <t>Transze</t>
  </si>
  <si>
    <t>Raty kapitałowe (spłaty roczne)</t>
  </si>
  <si>
    <t>Oprocentowanie</t>
  </si>
  <si>
    <t>Raty odsetkowe (roczne)</t>
  </si>
  <si>
    <t>Saldo kredytu</t>
  </si>
  <si>
    <t>Prowizja (2%)</t>
  </si>
  <si>
    <t>40 lat</t>
  </si>
  <si>
    <t>12 lat budynku w okresie referencyjnym</t>
  </si>
  <si>
    <t>28 lat</t>
  </si>
  <si>
    <t xml:space="preserve"> - budynek</t>
  </si>
  <si>
    <t xml:space="preserve"> - u1</t>
  </si>
  <si>
    <t xml:space="preserve"> - u2</t>
  </si>
  <si>
    <t xml:space="preserve"> - wnip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</si>
</sst>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.0000"/>
  </numFmts>
  <fonts count="26" x14ac:knownFonts="1"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3F3F76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9"/>
      <color theme="8"/>
      <name val="Calibri"/>
      <family val="2"/>
      <charset val="238"/>
    </font>
    <font>
      <sz val="9"/>
      <color theme="9" tint="-0.249977111117893"/>
      <name val="Calibri"/>
      <family val="2"/>
      <charset val="238"/>
    </font>
    <font>
      <i/>
      <sz val="8"/>
      <color theme="9" tint="-0.249977111117893"/>
      <name val="Calibri"/>
      <family val="2"/>
      <charset val="238"/>
    </font>
    <font>
      <i/>
      <sz val="8"/>
      <color theme="8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b/>
      <sz val="9"/>
      <color theme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9"/>
      <color theme="9"/>
      <name val="Calibri"/>
      <family val="2"/>
      <charset val="238"/>
    </font>
    <font>
      <sz val="9"/>
      <color theme="9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indexed="64"/>
      </right>
      <top/>
      <bottom/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4" fontId="0" fillId="0" borderId="0" xfId="0" applyNumberFormat="1"/>
    <xf numFmtId="0" fontId="12" fillId="0" borderId="0" xfId="0" applyFont="1"/>
    <xf numFmtId="0" fontId="6" fillId="6" borderId="0" xfId="0" applyFont="1" applyFill="1"/>
    <xf numFmtId="4" fontId="14" fillId="0" borderId="0" xfId="0" applyNumberFormat="1" applyFont="1" applyFill="1" applyBorder="1"/>
    <xf numFmtId="4" fontId="15" fillId="0" borderId="0" xfId="0" applyNumberFormat="1" applyFont="1" applyFill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5" xfId="0" applyFont="1" applyFill="1" applyBorder="1"/>
    <xf numFmtId="4" fontId="4" fillId="4" borderId="0" xfId="0" applyNumberFormat="1" applyFont="1" applyFill="1" applyBorder="1"/>
    <xf numFmtId="4" fontId="4" fillId="4" borderId="6" xfId="0" applyNumberFormat="1" applyFont="1" applyFill="1" applyBorder="1"/>
    <xf numFmtId="0" fontId="9" fillId="0" borderId="5" xfId="0" quotePrefix="1" applyFont="1" applyBorder="1"/>
    <xf numFmtId="4" fontId="9" fillId="3" borderId="0" xfId="0" applyNumberFormat="1" applyFont="1" applyFill="1" applyBorder="1"/>
    <xf numFmtId="4" fontId="9" fillId="3" borderId="6" xfId="0" applyNumberFormat="1" applyFont="1" applyFill="1" applyBorder="1"/>
    <xf numFmtId="0" fontId="10" fillId="0" borderId="5" xfId="0" quotePrefix="1" applyFont="1" applyBorder="1"/>
    <xf numFmtId="4" fontId="10" fillId="0" borderId="0" xfId="0" applyNumberFormat="1" applyFont="1" applyBorder="1"/>
    <xf numFmtId="4" fontId="10" fillId="0" borderId="6" xfId="0" applyNumberFormat="1" applyFont="1" applyBorder="1"/>
    <xf numFmtId="0" fontId="8" fillId="0" borderId="5" xfId="0" quotePrefix="1" applyFont="1" applyBorder="1"/>
    <xf numFmtId="4" fontId="8" fillId="3" borderId="0" xfId="0" applyNumberFormat="1" applyFont="1" applyFill="1" applyBorder="1"/>
    <xf numFmtId="4" fontId="8" fillId="3" borderId="6" xfId="0" applyNumberFormat="1" applyFont="1" applyFill="1" applyBorder="1"/>
    <xf numFmtId="0" fontId="11" fillId="0" borderId="5" xfId="0" quotePrefix="1" applyFont="1" applyBorder="1"/>
    <xf numFmtId="4" fontId="11" fillId="0" borderId="0" xfId="0" applyNumberFormat="1" applyFont="1" applyBorder="1"/>
    <xf numFmtId="4" fontId="11" fillId="0" borderId="6" xfId="0" applyNumberFormat="1" applyFont="1" applyBorder="1"/>
    <xf numFmtId="4" fontId="9" fillId="0" borderId="0" xfId="0" applyNumberFormat="1" applyFont="1" applyFill="1" applyBorder="1"/>
    <xf numFmtId="4" fontId="9" fillId="0" borderId="6" xfId="0" applyNumberFormat="1" applyFont="1" applyFill="1" applyBorder="1"/>
    <xf numFmtId="4" fontId="10" fillId="0" borderId="0" xfId="0" applyNumberFormat="1" applyFont="1" applyFill="1" applyBorder="1"/>
    <xf numFmtId="4" fontId="10" fillId="0" borderId="6" xfId="0" applyNumberFormat="1" applyFont="1" applyFill="1" applyBorder="1"/>
    <xf numFmtId="4" fontId="8" fillId="0" borderId="0" xfId="0" applyNumberFormat="1" applyFont="1" applyFill="1" applyBorder="1"/>
    <xf numFmtId="4" fontId="8" fillId="0" borderId="6" xfId="0" applyNumberFormat="1" applyFont="1" applyFill="1" applyBorder="1"/>
    <xf numFmtId="4" fontId="11" fillId="0" borderId="0" xfId="0" applyNumberFormat="1" applyFont="1" applyFill="1" applyBorder="1"/>
    <xf numFmtId="4" fontId="11" fillId="0" borderId="6" xfId="0" applyNumberFormat="1" applyFont="1" applyFill="1" applyBorder="1"/>
    <xf numFmtId="0" fontId="11" fillId="0" borderId="7" xfId="0" quotePrefix="1" applyFont="1" applyBorder="1"/>
    <xf numFmtId="4" fontId="11" fillId="0" borderId="8" xfId="0" applyNumberFormat="1" applyFont="1" applyFill="1" applyBorder="1"/>
    <xf numFmtId="4" fontId="11" fillId="0" borderId="9" xfId="0" applyNumberFormat="1" applyFont="1" applyFill="1" applyBorder="1"/>
    <xf numFmtId="0" fontId="13" fillId="0" borderId="10" xfId="0" applyFont="1" applyBorder="1"/>
    <xf numFmtId="10" fontId="13" fillId="0" borderId="11" xfId="0" applyNumberFormat="1" applyFont="1" applyBorder="1"/>
    <xf numFmtId="0" fontId="7" fillId="0" borderId="2" xfId="0" applyFont="1" applyBorder="1"/>
    <xf numFmtId="0" fontId="0" fillId="0" borderId="5" xfId="0" applyBorder="1"/>
    <xf numFmtId="4" fontId="0" fillId="0" borderId="0" xfId="0" applyNumberFormat="1" applyBorder="1"/>
    <xf numFmtId="4" fontId="4" fillId="0" borderId="6" xfId="0" applyNumberFormat="1" applyFont="1" applyBorder="1"/>
    <xf numFmtId="0" fontId="4" fillId="0" borderId="5" xfId="0" applyFont="1" applyBorder="1"/>
    <xf numFmtId="4" fontId="4" fillId="0" borderId="0" xfId="0" applyNumberFormat="1" applyFont="1" applyBorder="1"/>
    <xf numFmtId="0" fontId="0" fillId="0" borderId="0" xfId="0" applyBorder="1"/>
    <xf numFmtId="0" fontId="0" fillId="0" borderId="6" xfId="0" applyBorder="1"/>
    <xf numFmtId="10" fontId="0" fillId="0" borderId="0" xfId="1" applyNumberFormat="1" applyFont="1" applyBorder="1"/>
    <xf numFmtId="10" fontId="0" fillId="0" borderId="6" xfId="1" applyNumberFormat="1" applyFont="1" applyBorder="1"/>
    <xf numFmtId="0" fontId="0" fillId="0" borderId="7" xfId="0" applyBorder="1"/>
    <xf numFmtId="10" fontId="0" fillId="0" borderId="8" xfId="1" applyNumberFormat="1" applyFont="1" applyBorder="1"/>
    <xf numFmtId="10" fontId="0" fillId="0" borderId="9" xfId="1" applyNumberFormat="1" applyFont="1" applyBorder="1"/>
    <xf numFmtId="0" fontId="0" fillId="0" borderId="5" xfId="0" quotePrefix="1" applyBorder="1"/>
    <xf numFmtId="0" fontId="0" fillId="0" borderId="7" xfId="0" quotePrefix="1" applyBorder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0" fillId="0" borderId="6" xfId="0" applyNumberFormat="1" applyBorder="1"/>
    <xf numFmtId="0" fontId="4" fillId="7" borderId="5" xfId="0" applyFont="1" applyFill="1" applyBorder="1"/>
    <xf numFmtId="164" fontId="4" fillId="7" borderId="6" xfId="0" applyNumberFormat="1" applyFont="1" applyFill="1" applyBorder="1"/>
    <xf numFmtId="4" fontId="0" fillId="0" borderId="6" xfId="0" applyNumberFormat="1" applyBorder="1"/>
    <xf numFmtId="4" fontId="0" fillId="0" borderId="9" xfId="0" applyNumberFormat="1" applyBorder="1"/>
    <xf numFmtId="0" fontId="14" fillId="0" borderId="5" xfId="0" applyFont="1" applyFill="1" applyBorder="1" applyAlignment="1">
      <alignment vertical="center"/>
    </xf>
    <xf numFmtId="4" fontId="0" fillId="0" borderId="0" xfId="0" applyNumberFormat="1" applyFont="1" applyBorder="1"/>
    <xf numFmtId="4" fontId="14" fillId="0" borderId="6" xfId="0" applyNumberFormat="1" applyFont="1" applyFill="1" applyBorder="1"/>
    <xf numFmtId="0" fontId="15" fillId="0" borderId="5" xfId="0" applyFont="1" applyFill="1" applyBorder="1" applyAlignment="1">
      <alignment vertical="center"/>
    </xf>
    <xf numFmtId="4" fontId="15" fillId="0" borderId="6" xfId="0" applyNumberFormat="1" applyFont="1" applyFill="1" applyBorder="1"/>
    <xf numFmtId="0" fontId="14" fillId="0" borderId="5" xfId="0" applyFont="1" applyFill="1" applyBorder="1"/>
    <xf numFmtId="0" fontId="14" fillId="0" borderId="7" xfId="0" applyFont="1" applyFill="1" applyBorder="1"/>
    <xf numFmtId="4" fontId="14" fillId="0" borderId="8" xfId="0" applyNumberFormat="1" applyFont="1" applyFill="1" applyBorder="1"/>
    <xf numFmtId="4" fontId="14" fillId="0" borderId="9" xfId="0" applyNumberFormat="1" applyFont="1" applyFill="1" applyBorder="1"/>
    <xf numFmtId="0" fontId="0" fillId="0" borderId="8" xfId="0" applyBorder="1"/>
    <xf numFmtId="0" fontId="0" fillId="0" borderId="9" xfId="0" applyBorder="1"/>
    <xf numFmtId="4" fontId="0" fillId="0" borderId="8" xfId="0" applyNumberFormat="1" applyBorder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/>
    <xf numFmtId="0" fontId="4" fillId="8" borderId="5" xfId="0" applyFont="1" applyFill="1" applyBorder="1" applyAlignment="1">
      <alignment horizontal="center"/>
    </xf>
    <xf numFmtId="0" fontId="0" fillId="8" borderId="0" xfId="0" applyFill="1" applyBorder="1"/>
    <xf numFmtId="0" fontId="0" fillId="8" borderId="6" xfId="0" applyFill="1" applyBorder="1"/>
    <xf numFmtId="0" fontId="4" fillId="0" borderId="7" xfId="0" applyFont="1" applyBorder="1"/>
    <xf numFmtId="4" fontId="4" fillId="0" borderId="9" xfId="0" applyNumberFormat="1" applyFont="1" applyBorder="1"/>
    <xf numFmtId="0" fontId="3" fillId="11" borderId="0" xfId="0" applyFont="1" applyFill="1"/>
    <xf numFmtId="10" fontId="3" fillId="11" borderId="0" xfId="0" applyNumberFormat="1" applyFont="1" applyFill="1"/>
    <xf numFmtId="10" fontId="3" fillId="5" borderId="0" xfId="0" applyNumberFormat="1" applyFont="1" applyFill="1"/>
    <xf numFmtId="0" fontId="0" fillId="0" borderId="5" xfId="0" applyFont="1" applyBorder="1"/>
    <xf numFmtId="0" fontId="0" fillId="0" borderId="7" xfId="0" applyFont="1" applyBorder="1"/>
    <xf numFmtId="0" fontId="4" fillId="0" borderId="0" xfId="0" applyFont="1" applyBorder="1" applyAlignment="1">
      <alignment horizontal="center" vertical="center"/>
    </xf>
    <xf numFmtId="0" fontId="0" fillId="0" borderId="7" xfId="0" applyFill="1" applyBorder="1"/>
    <xf numFmtId="4" fontId="18" fillId="0" borderId="0" xfId="0" applyNumberFormat="1" applyFont="1" applyBorder="1"/>
    <xf numFmtId="4" fontId="19" fillId="0" borderId="0" xfId="0" applyNumberFormat="1" applyFont="1" applyFill="1" applyBorder="1"/>
    <xf numFmtId="4" fontId="20" fillId="0" borderId="0" xfId="0" applyNumberFormat="1" applyFont="1" applyFill="1" applyBorder="1"/>
    <xf numFmtId="4" fontId="7" fillId="0" borderId="0" xfId="0" applyNumberFormat="1" applyFont="1" applyBorder="1"/>
    <xf numFmtId="0" fontId="7" fillId="0" borderId="0" xfId="0" applyFont="1" applyFill="1"/>
    <xf numFmtId="0" fontId="7" fillId="0" borderId="2" xfId="0" applyFont="1" applyFill="1" applyBorder="1"/>
    <xf numFmtId="0" fontId="21" fillId="0" borderId="5" xfId="0" applyFont="1" applyFill="1" applyBorder="1"/>
    <xf numFmtId="4" fontId="21" fillId="0" borderId="0" xfId="0" applyNumberFormat="1" applyFont="1" applyFill="1" applyBorder="1"/>
    <xf numFmtId="4" fontId="21" fillId="0" borderId="6" xfId="0" applyNumberFormat="1" applyFont="1" applyFill="1" applyBorder="1"/>
    <xf numFmtId="0" fontId="15" fillId="0" borderId="5" xfId="0" applyFont="1" applyFill="1" applyBorder="1"/>
    <xf numFmtId="4" fontId="2" fillId="2" borderId="1" xfId="2" applyNumberFormat="1"/>
    <xf numFmtId="0" fontId="4" fillId="7" borderId="2" xfId="0" applyFont="1" applyFill="1" applyBorder="1"/>
    <xf numFmtId="4" fontId="4" fillId="7" borderId="4" xfId="0" applyNumberFormat="1" applyFont="1" applyFill="1" applyBorder="1"/>
    <xf numFmtId="10" fontId="4" fillId="0" borderId="8" xfId="0" applyNumberFormat="1" applyFont="1" applyBorder="1"/>
    <xf numFmtId="10" fontId="4" fillId="0" borderId="0" xfId="1" applyNumberFormat="1" applyFont="1" applyBorder="1"/>
    <xf numFmtId="10" fontId="4" fillId="0" borderId="0" xfId="0" applyNumberFormat="1" applyFont="1" applyBorder="1"/>
    <xf numFmtId="0" fontId="22" fillId="0" borderId="7" xfId="0" applyFont="1" applyBorder="1"/>
    <xf numFmtId="10" fontId="22" fillId="0" borderId="8" xfId="0" applyNumberFormat="1" applyFont="1" applyBorder="1"/>
    <xf numFmtId="0" fontId="0" fillId="0" borderId="5" xfId="0" quotePrefix="1" applyFont="1" applyBorder="1"/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4" fontId="0" fillId="3" borderId="0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0" fillId="0" borderId="5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10" fontId="0" fillId="0" borderId="12" xfId="1" applyNumberFormat="1" applyFont="1" applyBorder="1"/>
    <xf numFmtId="0" fontId="4" fillId="0" borderId="6" xfId="0" applyFont="1" applyBorder="1" applyAlignment="1">
      <alignment horizontal="center" vertical="center"/>
    </xf>
    <xf numFmtId="10" fontId="0" fillId="0" borderId="13" xfId="1" applyNumberFormat="1" applyFont="1" applyBorder="1"/>
    <xf numFmtId="4" fontId="2" fillId="2" borderId="14" xfId="2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9" borderId="0" xfId="0" applyFill="1" applyBorder="1"/>
    <xf numFmtId="0" fontId="0" fillId="9" borderId="5" xfId="0" applyFont="1" applyFill="1" applyBorder="1"/>
    <xf numFmtId="0" fontId="0" fillId="9" borderId="6" xfId="0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17" fillId="1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0" xfId="0" applyNumberFormat="1" applyFont="1" applyFill="1" applyBorder="1"/>
    <xf numFmtId="4" fontId="0" fillId="4" borderId="0" xfId="0" applyNumberFormat="1" applyFill="1" applyBorder="1"/>
    <xf numFmtId="0" fontId="0" fillId="4" borderId="5" xfId="0" applyFont="1" applyFill="1" applyBorder="1"/>
    <xf numFmtId="0" fontId="0" fillId="4" borderId="0" xfId="0" applyFill="1" applyBorder="1"/>
    <xf numFmtId="4" fontId="0" fillId="4" borderId="6" xfId="0" applyNumberFormat="1" applyFill="1" applyBorder="1"/>
    <xf numFmtId="0" fontId="23" fillId="0" borderId="5" xfId="0" applyFont="1" applyBorder="1"/>
    <xf numFmtId="4" fontId="23" fillId="0" borderId="0" xfId="0" applyNumberFormat="1" applyFont="1" applyBorder="1"/>
    <xf numFmtId="4" fontId="23" fillId="0" borderId="6" xfId="0" applyNumberFormat="1" applyFont="1" applyBorder="1"/>
    <xf numFmtId="4" fontId="0" fillId="6" borderId="0" xfId="0" applyNumberFormat="1" applyFill="1" applyBorder="1"/>
    <xf numFmtId="4" fontId="0" fillId="6" borderId="6" xfId="0" applyNumberFormat="1" applyFill="1" applyBorder="1"/>
    <xf numFmtId="10" fontId="0" fillId="0" borderId="0" xfId="1" applyNumberFormat="1" applyFont="1"/>
    <xf numFmtId="4" fontId="24" fillId="0" borderId="0" xfId="0" applyNumberFormat="1" applyFont="1" applyFill="1" applyBorder="1"/>
    <xf numFmtId="4" fontId="14" fillId="6" borderId="0" xfId="0" applyNumberFormat="1" applyFont="1" applyFill="1" applyBorder="1"/>
    <xf numFmtId="43" fontId="25" fillId="0" borderId="0" xfId="3" applyFont="1"/>
    <xf numFmtId="43" fontId="25" fillId="6" borderId="6" xfId="0" applyNumberFormat="1" applyFont="1" applyFill="1" applyBorder="1"/>
    <xf numFmtId="0" fontId="0" fillId="0" borderId="0" xfId="0" applyFill="1" applyBorder="1"/>
  </cellXfs>
  <cellStyles count="4">
    <cellStyle name="Dane wejściowe" xfId="2" builtinId="20"/>
    <cellStyle name="Dziesiętny" xfId="3" builtinId="3"/>
    <cellStyle name="Normalny" xfId="0" builtinId="0"/>
    <cellStyle name="Procentowy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8576"/>
  <sheetViews>
    <sheetView topLeftCell="B433" zoomScale="190" zoomScaleNormal="190" workbookViewId="0">
      <selection activeCell="B447" sqref="B447"/>
    </sheetView>
  </sheetViews>
  <sheetFormatPr defaultRowHeight="12" x14ac:dyDescent="0.2"/>
  <cols>
    <col min="2" max="2" width="58.6640625" customWidth="1"/>
    <col min="3" max="3" width="18.6640625" bestFit="1" customWidth="1"/>
    <col min="4" max="4" width="13" bestFit="1" customWidth="1"/>
    <col min="5" max="5" width="12.6640625" bestFit="1" customWidth="1"/>
    <col min="6" max="10" width="12.6640625" customWidth="1"/>
    <col min="11" max="11" width="14.33203125" customWidth="1"/>
    <col min="12" max="12" width="12.6640625" bestFit="1" customWidth="1"/>
    <col min="13" max="13" width="12.6640625" customWidth="1"/>
    <col min="14" max="19" width="13.83203125" customWidth="1"/>
  </cols>
  <sheetData>
    <row r="1" spans="1:6" x14ac:dyDescent="0.2">
      <c r="A1" s="3" t="s">
        <v>7</v>
      </c>
    </row>
    <row r="2" spans="1:6" ht="12.75" x14ac:dyDescent="0.2">
      <c r="A2" s="3" t="s">
        <v>8</v>
      </c>
      <c r="B2" s="135" t="s">
        <v>73</v>
      </c>
      <c r="C2" s="135"/>
    </row>
    <row r="3" spans="1:6" x14ac:dyDescent="0.2">
      <c r="A3" s="3"/>
      <c r="B3" s="74" t="s">
        <v>6</v>
      </c>
      <c r="C3" s="75" t="s">
        <v>8</v>
      </c>
    </row>
    <row r="4" spans="1:6" x14ac:dyDescent="0.2">
      <c r="A4" s="3"/>
      <c r="B4" s="88" t="s">
        <v>156</v>
      </c>
      <c r="C4" s="89">
        <v>0.04</v>
      </c>
    </row>
    <row r="5" spans="1:6" x14ac:dyDescent="0.2">
      <c r="A5" s="3"/>
      <c r="B5" s="74" t="s">
        <v>157</v>
      </c>
      <c r="C5" s="90">
        <v>0.05</v>
      </c>
    </row>
    <row r="6" spans="1:6" x14ac:dyDescent="0.2">
      <c r="A6" s="3"/>
      <c r="B6" s="88" t="s">
        <v>222</v>
      </c>
      <c r="C6" s="89">
        <v>4.4999999999999998E-2</v>
      </c>
    </row>
    <row r="7" spans="1:6" x14ac:dyDescent="0.2">
      <c r="A7" s="3"/>
      <c r="B7" s="74" t="s">
        <v>223</v>
      </c>
      <c r="C7" s="90">
        <v>0.14000000000000001</v>
      </c>
    </row>
    <row r="8" spans="1:6" x14ac:dyDescent="0.2">
      <c r="A8" s="3"/>
      <c r="B8" s="88" t="s">
        <v>224</v>
      </c>
      <c r="C8" s="89">
        <v>0.2</v>
      </c>
    </row>
    <row r="9" spans="1:6" x14ac:dyDescent="0.2">
      <c r="A9" s="3"/>
      <c r="B9" s="74" t="s">
        <v>225</v>
      </c>
      <c r="C9" s="90">
        <v>0.33</v>
      </c>
    </row>
    <row r="10" spans="1:6" x14ac:dyDescent="0.2">
      <c r="A10" s="3"/>
    </row>
    <row r="11" spans="1:6" x14ac:dyDescent="0.2">
      <c r="A11" s="3"/>
    </row>
    <row r="12" spans="1:6" x14ac:dyDescent="0.2">
      <c r="A12" s="3"/>
    </row>
    <row r="13" spans="1:6" x14ac:dyDescent="0.2">
      <c r="A13" s="6" t="s">
        <v>158</v>
      </c>
      <c r="B13" s="6" t="s">
        <v>60</v>
      </c>
    </row>
    <row r="14" spans="1:6" x14ac:dyDescent="0.2">
      <c r="B14" s="9" t="s">
        <v>0</v>
      </c>
      <c r="C14" s="10">
        <v>2017</v>
      </c>
      <c r="D14" s="10">
        <v>2018</v>
      </c>
      <c r="E14" s="126">
        <v>2019</v>
      </c>
      <c r="F14" s="11" t="s">
        <v>16</v>
      </c>
    </row>
    <row r="15" spans="1:6" x14ac:dyDescent="0.2">
      <c r="B15" s="12" t="s">
        <v>1</v>
      </c>
      <c r="C15" s="13">
        <f>SUM(C16:C19)</f>
        <v>432000</v>
      </c>
      <c r="D15" s="13">
        <f>SUM(D16:D19)</f>
        <v>2484000</v>
      </c>
      <c r="E15" s="13">
        <f>SUM(E16:E19)</f>
        <v>1728000</v>
      </c>
      <c r="F15" s="14">
        <f>SUM(C15:E15)</f>
        <v>4644000</v>
      </c>
    </row>
    <row r="16" spans="1:6" x14ac:dyDescent="0.2">
      <c r="B16" s="15" t="s">
        <v>4</v>
      </c>
      <c r="C16" s="16">
        <v>300000</v>
      </c>
      <c r="D16" s="16">
        <v>2100000</v>
      </c>
      <c r="E16" s="16">
        <v>800000</v>
      </c>
      <c r="F16" s="17">
        <f t="shared" ref="F16:F54" si="0">SUM(C16:E16)</f>
        <v>3200000</v>
      </c>
    </row>
    <row r="17" spans="2:6" x14ac:dyDescent="0.2">
      <c r="B17" s="18" t="s">
        <v>227</v>
      </c>
      <c r="C17" s="19">
        <f>ROUND(8%*(C16),2)</f>
        <v>24000</v>
      </c>
      <c r="D17" s="19">
        <f>ROUND(8%*(D16),2)</f>
        <v>168000</v>
      </c>
      <c r="E17" s="19">
        <f>ROUND(8%*(E16),2)</f>
        <v>64000</v>
      </c>
      <c r="F17" s="20">
        <f t="shared" si="0"/>
        <v>256000</v>
      </c>
    </row>
    <row r="18" spans="2:6" x14ac:dyDescent="0.2">
      <c r="B18" s="21" t="s">
        <v>5</v>
      </c>
      <c r="C18" s="22">
        <v>100000</v>
      </c>
      <c r="D18" s="22">
        <v>200000</v>
      </c>
      <c r="E18" s="22">
        <v>800000</v>
      </c>
      <c r="F18" s="23">
        <f t="shared" si="0"/>
        <v>1100000</v>
      </c>
    </row>
    <row r="19" spans="2:6" x14ac:dyDescent="0.2">
      <c r="B19" s="24" t="s">
        <v>228</v>
      </c>
      <c r="C19" s="25">
        <f>ROUND(8%*(C18),2)</f>
        <v>8000</v>
      </c>
      <c r="D19" s="25">
        <f>ROUND(8%*(D18),2)</f>
        <v>16000</v>
      </c>
      <c r="E19" s="25">
        <f>ROUND(8%*(E18),2)</f>
        <v>64000</v>
      </c>
      <c r="F19" s="26">
        <f t="shared" si="0"/>
        <v>88000</v>
      </c>
    </row>
    <row r="20" spans="2:6" x14ac:dyDescent="0.2">
      <c r="B20" s="12" t="s">
        <v>2</v>
      </c>
      <c r="C20" s="13">
        <f>SUM(C21:C24)</f>
        <v>9840</v>
      </c>
      <c r="D20" s="13">
        <f>SUM(D21:D24)</f>
        <v>56580</v>
      </c>
      <c r="E20" s="13">
        <f>SUM(E21:E24)</f>
        <v>39360</v>
      </c>
      <c r="F20" s="14">
        <f t="shared" si="0"/>
        <v>105780</v>
      </c>
    </row>
    <row r="21" spans="2:6" x14ac:dyDescent="0.2">
      <c r="B21" s="15" t="s">
        <v>4</v>
      </c>
      <c r="C21" s="16">
        <f>ROUND(2%*C16,0)</f>
        <v>6000</v>
      </c>
      <c r="D21" s="16">
        <f>ROUND(2%*D16,0)</f>
        <v>42000</v>
      </c>
      <c r="E21" s="16">
        <f>ROUND(2%*E16,0)</f>
        <v>16000</v>
      </c>
      <c r="F21" s="17">
        <f t="shared" si="0"/>
        <v>64000</v>
      </c>
    </row>
    <row r="22" spans="2:6" x14ac:dyDescent="0.2">
      <c r="B22" s="18" t="s">
        <v>14</v>
      </c>
      <c r="C22" s="19">
        <f>ROUND(23%*(C21),2)</f>
        <v>1380</v>
      </c>
      <c r="D22" s="19">
        <f>ROUND(23%*(D21),2)</f>
        <v>9660</v>
      </c>
      <c r="E22" s="19">
        <f>ROUND(23%*(E21),2)</f>
        <v>3680</v>
      </c>
      <c r="F22" s="20">
        <f t="shared" si="0"/>
        <v>14720</v>
      </c>
    </row>
    <row r="23" spans="2:6" x14ac:dyDescent="0.2">
      <c r="B23" s="21" t="s">
        <v>5</v>
      </c>
      <c r="C23" s="22">
        <f>ROUND(2%*C18,0)</f>
        <v>2000</v>
      </c>
      <c r="D23" s="22">
        <f>ROUND(2%*D18,0)</f>
        <v>4000</v>
      </c>
      <c r="E23" s="22">
        <f>ROUND(2%*E18,0)</f>
        <v>16000</v>
      </c>
      <c r="F23" s="23">
        <f t="shared" si="0"/>
        <v>22000</v>
      </c>
    </row>
    <row r="24" spans="2:6" x14ac:dyDescent="0.2">
      <c r="B24" s="24" t="s">
        <v>15</v>
      </c>
      <c r="C24" s="25">
        <f>ROUND(23%*(C23),2)</f>
        <v>460</v>
      </c>
      <c r="D24" s="25">
        <f>ROUND(23%*(D23),2)</f>
        <v>920</v>
      </c>
      <c r="E24" s="25">
        <f>ROUND(23%*(E23),2)</f>
        <v>3680</v>
      </c>
      <c r="F24" s="26">
        <f t="shared" si="0"/>
        <v>5060</v>
      </c>
    </row>
    <row r="25" spans="2:6" x14ac:dyDescent="0.2">
      <c r="B25" s="12" t="s">
        <v>210</v>
      </c>
      <c r="C25" s="13">
        <f>SUM(C26:C29)</f>
        <v>0</v>
      </c>
      <c r="D25" s="13">
        <f>SUM(D26:D29)</f>
        <v>0</v>
      </c>
      <c r="E25" s="13">
        <f>SUM(E26:E29)</f>
        <v>1599000</v>
      </c>
      <c r="F25" s="14">
        <f t="shared" si="0"/>
        <v>1599000</v>
      </c>
    </row>
    <row r="26" spans="2:6" x14ac:dyDescent="0.2">
      <c r="B26" s="15" t="s">
        <v>4</v>
      </c>
      <c r="C26" s="16"/>
      <c r="D26" s="16"/>
      <c r="E26" s="16">
        <v>800000</v>
      </c>
      <c r="F26" s="17">
        <f t="shared" si="0"/>
        <v>800000</v>
      </c>
    </row>
    <row r="27" spans="2:6" x14ac:dyDescent="0.2">
      <c r="B27" s="18" t="s">
        <v>14</v>
      </c>
      <c r="C27" s="19">
        <f>ROUND(23%*(C26),2)</f>
        <v>0</v>
      </c>
      <c r="D27" s="19">
        <f>ROUND(23%*(D26),2)</f>
        <v>0</v>
      </c>
      <c r="E27" s="19">
        <f>ROUND(23%*(E26),2)</f>
        <v>184000</v>
      </c>
      <c r="F27" s="20">
        <f t="shared" si="0"/>
        <v>184000</v>
      </c>
    </row>
    <row r="28" spans="2:6" x14ac:dyDescent="0.2">
      <c r="B28" s="21" t="s">
        <v>5</v>
      </c>
      <c r="C28" s="22"/>
      <c r="D28" s="22"/>
      <c r="E28" s="22">
        <v>500000</v>
      </c>
      <c r="F28" s="23">
        <f t="shared" si="0"/>
        <v>500000</v>
      </c>
    </row>
    <row r="29" spans="2:6" x14ac:dyDescent="0.2">
      <c r="B29" s="24" t="s">
        <v>15</v>
      </c>
      <c r="C29" s="25">
        <f>ROUND(23%*(C28),2)</f>
        <v>0</v>
      </c>
      <c r="D29" s="25">
        <f>ROUND(23%*(D28),2)</f>
        <v>0</v>
      </c>
      <c r="E29" s="25">
        <f>ROUND(23%*(E28),2)</f>
        <v>115000</v>
      </c>
      <c r="F29" s="26">
        <f t="shared" si="0"/>
        <v>115000</v>
      </c>
    </row>
    <row r="30" spans="2:6" x14ac:dyDescent="0.2">
      <c r="B30" s="12" t="s">
        <v>211</v>
      </c>
      <c r="C30" s="13">
        <f>SUM(C31:C34)</f>
        <v>0</v>
      </c>
      <c r="D30" s="13">
        <f>SUM(D31:D34)</f>
        <v>0</v>
      </c>
      <c r="E30" s="13">
        <f>SUM(E31:E34)</f>
        <v>799500</v>
      </c>
      <c r="F30" s="14">
        <f t="shared" ref="F30:F39" si="1">SUM(C30:E30)</f>
        <v>799500</v>
      </c>
    </row>
    <row r="31" spans="2:6" x14ac:dyDescent="0.2">
      <c r="B31" s="15" t="s">
        <v>4</v>
      </c>
      <c r="C31" s="16"/>
      <c r="D31" s="16"/>
      <c r="E31" s="16">
        <v>650000</v>
      </c>
      <c r="F31" s="17">
        <f t="shared" si="1"/>
        <v>650000</v>
      </c>
    </row>
    <row r="32" spans="2:6" x14ac:dyDescent="0.2">
      <c r="B32" s="18" t="s">
        <v>14</v>
      </c>
      <c r="C32" s="19">
        <f>ROUND(23%*(C31),2)</f>
        <v>0</v>
      </c>
      <c r="D32" s="19">
        <f>ROUND(23%*(D31),2)</f>
        <v>0</v>
      </c>
      <c r="E32" s="19">
        <f>ROUND(23%*(E31),2)</f>
        <v>149500</v>
      </c>
      <c r="F32" s="20">
        <f t="shared" si="1"/>
        <v>149500</v>
      </c>
    </row>
    <row r="33" spans="2:6" x14ac:dyDescent="0.2">
      <c r="B33" s="21" t="s">
        <v>5</v>
      </c>
      <c r="C33" s="22"/>
      <c r="D33" s="22"/>
      <c r="E33" s="22">
        <v>0</v>
      </c>
      <c r="F33" s="23">
        <f t="shared" si="1"/>
        <v>0</v>
      </c>
    </row>
    <row r="34" spans="2:6" x14ac:dyDescent="0.2">
      <c r="B34" s="24" t="s">
        <v>15</v>
      </c>
      <c r="C34" s="25">
        <f>ROUND(23%*(C33),2)</f>
        <v>0</v>
      </c>
      <c r="D34" s="25">
        <f>ROUND(23%*(D33),2)</f>
        <v>0</v>
      </c>
      <c r="E34" s="25">
        <f>ROUND(23%*(E33),2)</f>
        <v>0</v>
      </c>
      <c r="F34" s="26">
        <f t="shared" si="1"/>
        <v>0</v>
      </c>
    </row>
    <row r="35" spans="2:6" x14ac:dyDescent="0.2">
      <c r="B35" s="12" t="s">
        <v>226</v>
      </c>
      <c r="C35" s="13">
        <f>SUM(C36:C39)</f>
        <v>0</v>
      </c>
      <c r="D35" s="13">
        <f>SUM(D36:D39)</f>
        <v>984000</v>
      </c>
      <c r="E35" s="13">
        <f>SUM(E36:E39)</f>
        <v>1107000</v>
      </c>
      <c r="F35" s="14">
        <f t="shared" si="1"/>
        <v>2091000</v>
      </c>
    </row>
    <row r="36" spans="2:6" x14ac:dyDescent="0.2">
      <c r="B36" s="15" t="s">
        <v>4</v>
      </c>
      <c r="C36" s="16"/>
      <c r="D36" s="16">
        <v>800000</v>
      </c>
      <c r="E36" s="16">
        <v>900000</v>
      </c>
      <c r="F36" s="17">
        <f t="shared" si="1"/>
        <v>1700000</v>
      </c>
    </row>
    <row r="37" spans="2:6" x14ac:dyDescent="0.2">
      <c r="B37" s="18" t="s">
        <v>14</v>
      </c>
      <c r="C37" s="19">
        <f>ROUND(23%*(C36),2)</f>
        <v>0</v>
      </c>
      <c r="D37" s="19">
        <f>ROUND(23%*(D36),2)</f>
        <v>184000</v>
      </c>
      <c r="E37" s="19">
        <f>ROUND(23%*(E36),2)</f>
        <v>207000</v>
      </c>
      <c r="F37" s="20">
        <f t="shared" si="1"/>
        <v>391000</v>
      </c>
    </row>
    <row r="38" spans="2:6" x14ac:dyDescent="0.2">
      <c r="B38" s="21" t="s">
        <v>5</v>
      </c>
      <c r="C38" s="22"/>
      <c r="D38" s="22"/>
      <c r="E38" s="22">
        <v>0</v>
      </c>
      <c r="F38" s="23">
        <f t="shared" si="1"/>
        <v>0</v>
      </c>
    </row>
    <row r="39" spans="2:6" x14ac:dyDescent="0.2">
      <c r="B39" s="24" t="s">
        <v>15</v>
      </c>
      <c r="C39" s="25">
        <f>ROUND(23%*(C38),2)</f>
        <v>0</v>
      </c>
      <c r="D39" s="25">
        <f>ROUND(23%*(D38),2)</f>
        <v>0</v>
      </c>
      <c r="E39" s="25">
        <f>ROUND(23%*(E38),2)</f>
        <v>0</v>
      </c>
      <c r="F39" s="26">
        <f t="shared" si="1"/>
        <v>0</v>
      </c>
    </row>
    <row r="40" spans="2:6" x14ac:dyDescent="0.2">
      <c r="B40" s="12" t="s">
        <v>3</v>
      </c>
      <c r="C40" s="13">
        <f>SUM(C41:C44)</f>
        <v>6758.85</v>
      </c>
      <c r="D40" s="13">
        <f>SUM(D41:D44)</f>
        <v>4003.65</v>
      </c>
      <c r="E40" s="13">
        <f>SUM(E41:E44)</f>
        <v>4003.65</v>
      </c>
      <c r="F40" s="14">
        <f t="shared" si="0"/>
        <v>14766.15</v>
      </c>
    </row>
    <row r="41" spans="2:6" x14ac:dyDescent="0.2">
      <c r="B41" s="15" t="s">
        <v>4</v>
      </c>
      <c r="C41" s="16">
        <v>3200</v>
      </c>
      <c r="D41" s="16">
        <v>2060</v>
      </c>
      <c r="E41" s="16">
        <v>2060</v>
      </c>
      <c r="F41" s="17">
        <f t="shared" si="0"/>
        <v>7320</v>
      </c>
    </row>
    <row r="42" spans="2:6" x14ac:dyDescent="0.2">
      <c r="B42" s="18" t="s">
        <v>14</v>
      </c>
      <c r="C42" s="19">
        <f>ROUND(23%*(C41),2)</f>
        <v>736</v>
      </c>
      <c r="D42" s="19">
        <f>ROUND(23%*(D41),2)</f>
        <v>473.8</v>
      </c>
      <c r="E42" s="19">
        <f>ROUND(23%*(E41),2)</f>
        <v>473.8</v>
      </c>
      <c r="F42" s="20">
        <f t="shared" si="0"/>
        <v>1683.6</v>
      </c>
    </row>
    <row r="43" spans="2:6" x14ac:dyDescent="0.2">
      <c r="B43" s="21" t="s">
        <v>5</v>
      </c>
      <c r="C43" s="22">
        <v>2295</v>
      </c>
      <c r="D43" s="22">
        <v>1195</v>
      </c>
      <c r="E43" s="22">
        <v>1195</v>
      </c>
      <c r="F43" s="23">
        <f t="shared" si="0"/>
        <v>4685</v>
      </c>
    </row>
    <row r="44" spans="2:6" x14ac:dyDescent="0.2">
      <c r="B44" s="24" t="s">
        <v>15</v>
      </c>
      <c r="C44" s="25">
        <f>ROUND(23%*(C43),2)</f>
        <v>527.85</v>
      </c>
      <c r="D44" s="25">
        <f>ROUND(23%*(D43),2)</f>
        <v>274.85000000000002</v>
      </c>
      <c r="E44" s="25">
        <f>ROUND(23%*(E43),2)</f>
        <v>274.85000000000002</v>
      </c>
      <c r="F44" s="26">
        <f t="shared" si="0"/>
        <v>1077.5500000000002</v>
      </c>
    </row>
    <row r="45" spans="2:6" x14ac:dyDescent="0.2">
      <c r="B45" s="12" t="s">
        <v>9</v>
      </c>
      <c r="C45" s="13">
        <f>SUM(C46:C49)</f>
        <v>448598.85</v>
      </c>
      <c r="D45" s="13">
        <f>SUM(D46:D49)</f>
        <v>3528583.65</v>
      </c>
      <c r="E45" s="13">
        <f>SUM(E46:E49)</f>
        <v>5276863.6499999994</v>
      </c>
      <c r="F45" s="14">
        <f t="shared" si="0"/>
        <v>9254046.1499999985</v>
      </c>
    </row>
    <row r="46" spans="2:6" x14ac:dyDescent="0.2">
      <c r="B46" s="15" t="s">
        <v>4</v>
      </c>
      <c r="C46" s="27">
        <f t="shared" ref="C46:E49" si="2">C41+C26+C21+C16+C31+C36</f>
        <v>309200</v>
      </c>
      <c r="D46" s="27">
        <f t="shared" si="2"/>
        <v>2944060</v>
      </c>
      <c r="E46" s="27">
        <f t="shared" si="2"/>
        <v>3168060</v>
      </c>
      <c r="F46" s="28">
        <f t="shared" si="0"/>
        <v>6421320</v>
      </c>
    </row>
    <row r="47" spans="2:6" x14ac:dyDescent="0.2">
      <c r="B47" s="18" t="s">
        <v>14</v>
      </c>
      <c r="C47" s="29">
        <f t="shared" si="2"/>
        <v>26116</v>
      </c>
      <c r="D47" s="29">
        <f t="shared" si="2"/>
        <v>362133.8</v>
      </c>
      <c r="E47" s="29">
        <f t="shared" si="2"/>
        <v>608653.80000000005</v>
      </c>
      <c r="F47" s="30">
        <f t="shared" si="0"/>
        <v>996903.60000000009</v>
      </c>
    </row>
    <row r="48" spans="2:6" x14ac:dyDescent="0.2">
      <c r="B48" s="21" t="s">
        <v>5</v>
      </c>
      <c r="C48" s="31">
        <f t="shared" si="2"/>
        <v>104295</v>
      </c>
      <c r="D48" s="31">
        <f t="shared" si="2"/>
        <v>205195</v>
      </c>
      <c r="E48" s="31">
        <f t="shared" si="2"/>
        <v>1317195</v>
      </c>
      <c r="F48" s="32">
        <f t="shared" si="0"/>
        <v>1626685</v>
      </c>
    </row>
    <row r="49" spans="1:7" x14ac:dyDescent="0.2">
      <c r="B49" s="24" t="s">
        <v>15</v>
      </c>
      <c r="C49" s="33">
        <f t="shared" si="2"/>
        <v>8987.85</v>
      </c>
      <c r="D49" s="33">
        <f t="shared" si="2"/>
        <v>17194.849999999999</v>
      </c>
      <c r="E49" s="33">
        <f t="shared" si="2"/>
        <v>182954.85</v>
      </c>
      <c r="F49" s="34">
        <f t="shared" si="0"/>
        <v>209137.55</v>
      </c>
    </row>
    <row r="50" spans="1:7" x14ac:dyDescent="0.2">
      <c r="B50" s="12" t="s">
        <v>10</v>
      </c>
      <c r="C50" s="13">
        <f>SUM(C51:C54)</f>
        <v>448598.85</v>
      </c>
      <c r="D50" s="13">
        <f>SUM(D51:D54)</f>
        <v>3528583.65</v>
      </c>
      <c r="E50" s="13">
        <f>SUM(E51:E54)</f>
        <v>5276863.6500000004</v>
      </c>
      <c r="F50" s="14">
        <f t="shared" si="0"/>
        <v>9254046.1500000004</v>
      </c>
    </row>
    <row r="51" spans="1:7" x14ac:dyDescent="0.2">
      <c r="B51" s="15" t="s">
        <v>4</v>
      </c>
      <c r="C51" s="27">
        <f>C46</f>
        <v>309200</v>
      </c>
      <c r="D51" s="27">
        <f>D46</f>
        <v>2944060</v>
      </c>
      <c r="E51" s="27">
        <f>E46</f>
        <v>3168060</v>
      </c>
      <c r="F51" s="28">
        <f t="shared" si="0"/>
        <v>6421320</v>
      </c>
    </row>
    <row r="52" spans="1:7" x14ac:dyDescent="0.2">
      <c r="B52" s="18" t="s">
        <v>17</v>
      </c>
      <c r="C52" s="29">
        <f>IF($C$3="t",C47,0)</f>
        <v>0</v>
      </c>
      <c r="D52" s="29">
        <f>IF($C$3="t",D47,0)</f>
        <v>0</v>
      </c>
      <c r="E52" s="29">
        <f>IF($C$3="t",E47,0)</f>
        <v>0</v>
      </c>
      <c r="F52" s="30">
        <f t="shared" si="0"/>
        <v>0</v>
      </c>
    </row>
    <row r="53" spans="1:7" x14ac:dyDescent="0.2">
      <c r="B53" s="21" t="s">
        <v>5</v>
      </c>
      <c r="C53" s="31">
        <f>C48</f>
        <v>104295</v>
      </c>
      <c r="D53" s="31">
        <f>D48</f>
        <v>205195</v>
      </c>
      <c r="E53" s="31">
        <f>E48</f>
        <v>1317195</v>
      </c>
      <c r="F53" s="32">
        <f t="shared" si="0"/>
        <v>1626685</v>
      </c>
      <c r="G53" s="4">
        <f>F53+F51</f>
        <v>8048005</v>
      </c>
    </row>
    <row r="54" spans="1:7" x14ac:dyDescent="0.2">
      <c r="B54" s="35" t="s">
        <v>18</v>
      </c>
      <c r="C54" s="36">
        <f>IF($C$3="n",C49+C47,C49)</f>
        <v>35103.85</v>
      </c>
      <c r="D54" s="36">
        <f>IF($C$3="n",D49+D47,D49)</f>
        <v>379328.64999999997</v>
      </c>
      <c r="E54" s="36">
        <f>IF($C$3="n",E49+E47,E49)</f>
        <v>791608.65</v>
      </c>
      <c r="F54" s="37">
        <f t="shared" si="0"/>
        <v>1206041.1499999999</v>
      </c>
    </row>
    <row r="55" spans="1:7" x14ac:dyDescent="0.2">
      <c r="C55" s="5" t="b">
        <f>C50=C45</f>
        <v>1</v>
      </c>
      <c r="D55" s="5" t="b">
        <f>D50=D45</f>
        <v>1</v>
      </c>
      <c r="E55" s="5" t="b">
        <f>E50=E45</f>
        <v>1</v>
      </c>
      <c r="F55" s="5" t="b">
        <f>F50=F45</f>
        <v>1</v>
      </c>
    </row>
    <row r="58" spans="1:7" x14ac:dyDescent="0.2">
      <c r="A58" s="6" t="s">
        <v>159</v>
      </c>
      <c r="B58" s="6" t="s">
        <v>59</v>
      </c>
    </row>
    <row r="59" spans="1:7" x14ac:dyDescent="0.2">
      <c r="B59" s="38" t="s">
        <v>19</v>
      </c>
      <c r="C59" s="39"/>
    </row>
    <row r="60" spans="1:7" x14ac:dyDescent="0.2">
      <c r="B60" s="2"/>
    </row>
    <row r="61" spans="1:7" x14ac:dyDescent="0.2">
      <c r="B61" s="40" t="s">
        <v>13</v>
      </c>
      <c r="C61" s="10">
        <v>2017</v>
      </c>
      <c r="D61" s="10">
        <v>2018</v>
      </c>
      <c r="E61" s="126">
        <v>2019</v>
      </c>
      <c r="F61" s="11" t="s">
        <v>16</v>
      </c>
    </row>
    <row r="62" spans="1:7" x14ac:dyDescent="0.2">
      <c r="B62" s="41" t="s">
        <v>11</v>
      </c>
      <c r="C62" s="42"/>
      <c r="D62" s="42"/>
      <c r="E62" s="42"/>
      <c r="F62" s="43">
        <f>SUM(C62:E62)</f>
        <v>0</v>
      </c>
    </row>
    <row r="63" spans="1:7" x14ac:dyDescent="0.2">
      <c r="B63" s="41" t="s">
        <v>12</v>
      </c>
      <c r="C63" s="42"/>
      <c r="D63" s="42"/>
      <c r="E63" s="42"/>
      <c r="F63" s="43">
        <f>SUM(C63:E63)</f>
        <v>0</v>
      </c>
    </row>
    <row r="64" spans="1:7" x14ac:dyDescent="0.2">
      <c r="B64" s="44" t="s">
        <v>16</v>
      </c>
      <c r="C64" s="45">
        <f>C62+C63</f>
        <v>0</v>
      </c>
      <c r="D64" s="45">
        <f>D62+D63</f>
        <v>0</v>
      </c>
      <c r="E64" s="45">
        <f>E62+E63</f>
        <v>0</v>
      </c>
      <c r="F64" s="43">
        <f>SUM(C64:E64)</f>
        <v>0</v>
      </c>
    </row>
    <row r="65" spans="1:7" x14ac:dyDescent="0.2">
      <c r="B65" s="44"/>
      <c r="C65" s="45"/>
      <c r="D65" s="45"/>
      <c r="E65" s="45"/>
      <c r="F65" s="43"/>
    </row>
    <row r="66" spans="1:7" x14ac:dyDescent="0.2">
      <c r="B66" s="41" t="s">
        <v>21</v>
      </c>
      <c r="C66" s="42"/>
      <c r="D66" s="42"/>
      <c r="E66" s="42"/>
      <c r="F66" s="43">
        <f>SUM(C66:E66)</f>
        <v>0</v>
      </c>
    </row>
    <row r="67" spans="1:7" x14ac:dyDescent="0.2">
      <c r="B67" s="41" t="s">
        <v>20</v>
      </c>
      <c r="C67" s="42"/>
      <c r="D67" s="42"/>
      <c r="E67" s="42"/>
      <c r="F67" s="43">
        <f>SUM(C67:E67)</f>
        <v>0</v>
      </c>
      <c r="G67" s="5" t="b">
        <f>(F67+F66)=F62</f>
        <v>1</v>
      </c>
    </row>
    <row r="68" spans="1:7" x14ac:dyDescent="0.2">
      <c r="B68" s="41" t="s">
        <v>22</v>
      </c>
      <c r="C68" s="42"/>
      <c r="D68" s="42"/>
      <c r="E68" s="42"/>
      <c r="F68" s="43">
        <f>SUM(C68:E68)</f>
        <v>0</v>
      </c>
      <c r="G68" s="5" t="b">
        <f>F68=F63</f>
        <v>1</v>
      </c>
    </row>
    <row r="69" spans="1:7" x14ac:dyDescent="0.2">
      <c r="B69" s="44" t="s">
        <v>16</v>
      </c>
      <c r="C69" s="45">
        <f>C67+C68+C66</f>
        <v>0</v>
      </c>
      <c r="D69" s="45">
        <f>D67+D68+D66</f>
        <v>0</v>
      </c>
      <c r="E69" s="45">
        <f>E67+E68+E66</f>
        <v>0</v>
      </c>
      <c r="F69" s="43">
        <f>SUM(C69:E69)</f>
        <v>0</v>
      </c>
      <c r="G69" s="5" t="b">
        <f>F69=F64</f>
        <v>1</v>
      </c>
    </row>
    <row r="70" spans="1:7" x14ac:dyDescent="0.2">
      <c r="B70" s="41"/>
      <c r="C70" s="46"/>
      <c r="D70" s="46"/>
      <c r="E70" s="46"/>
      <c r="F70" s="47"/>
    </row>
    <row r="71" spans="1:7" x14ac:dyDescent="0.2">
      <c r="B71" s="44" t="s">
        <v>23</v>
      </c>
      <c r="C71" s="46"/>
      <c r="D71" s="46"/>
      <c r="E71" s="46"/>
      <c r="F71" s="47"/>
    </row>
    <row r="72" spans="1:7" x14ac:dyDescent="0.2">
      <c r="B72" s="53" t="s">
        <v>54</v>
      </c>
      <c r="C72" s="48"/>
      <c r="D72" s="48"/>
      <c r="E72" s="48"/>
      <c r="F72" s="49"/>
    </row>
    <row r="73" spans="1:7" x14ac:dyDescent="0.2">
      <c r="B73" s="54" t="s">
        <v>55</v>
      </c>
      <c r="C73" s="51"/>
      <c r="D73" s="51"/>
      <c r="E73" s="51"/>
      <c r="F73" s="52"/>
    </row>
    <row r="77" spans="1:7" x14ac:dyDescent="0.2">
      <c r="A77" s="6" t="s">
        <v>160</v>
      </c>
      <c r="B77" s="6" t="s">
        <v>58</v>
      </c>
    </row>
    <row r="78" spans="1:7" x14ac:dyDescent="0.2">
      <c r="B78" s="55" t="s">
        <v>24</v>
      </c>
      <c r="C78" s="56" t="s">
        <v>25</v>
      </c>
    </row>
    <row r="79" spans="1:7" x14ac:dyDescent="0.2">
      <c r="B79" s="53" t="s">
        <v>212</v>
      </c>
      <c r="C79" s="57">
        <v>4.3468999999999998</v>
      </c>
    </row>
    <row r="80" spans="1:7" x14ac:dyDescent="0.2">
      <c r="B80" s="53" t="s">
        <v>213</v>
      </c>
      <c r="C80" s="57">
        <v>4.2560000000000002</v>
      </c>
    </row>
    <row r="81" spans="1:4" x14ac:dyDescent="0.2">
      <c r="B81" s="53" t="s">
        <v>214</v>
      </c>
      <c r="C81" s="57">
        <v>4.2690999999999999</v>
      </c>
    </row>
    <row r="82" spans="1:4" x14ac:dyDescent="0.2">
      <c r="B82" s="53" t="s">
        <v>215</v>
      </c>
      <c r="C82" s="57">
        <v>4.2911000000000001</v>
      </c>
    </row>
    <row r="83" spans="1:4" x14ac:dyDescent="0.2">
      <c r="B83" s="53" t="s">
        <v>216</v>
      </c>
      <c r="C83" s="57">
        <v>4.1722999999999999</v>
      </c>
    </row>
    <row r="84" spans="1:4" x14ac:dyDescent="0.2">
      <c r="B84" s="53" t="s">
        <v>217</v>
      </c>
      <c r="C84" s="57">
        <v>4.3822000000000001</v>
      </c>
    </row>
    <row r="85" spans="1:4" x14ac:dyDescent="0.2">
      <c r="B85" s="58" t="s">
        <v>26</v>
      </c>
      <c r="C85" s="59">
        <f>ROUND(AVERAGE(C79:C84),4)</f>
        <v>4.2862999999999998</v>
      </c>
    </row>
    <row r="86" spans="1:4" x14ac:dyDescent="0.2">
      <c r="B86" s="41" t="s">
        <v>27</v>
      </c>
      <c r="C86" s="60"/>
    </row>
    <row r="87" spans="1:4" x14ac:dyDescent="0.2">
      <c r="B87" s="50" t="s">
        <v>28</v>
      </c>
      <c r="C87" s="61"/>
    </row>
    <row r="91" spans="1:4" x14ac:dyDescent="0.2">
      <c r="A91" s="6" t="s">
        <v>161</v>
      </c>
      <c r="B91" s="6" t="s">
        <v>57</v>
      </c>
    </row>
    <row r="92" spans="1:4" x14ac:dyDescent="0.2">
      <c r="B92" s="9" t="s">
        <v>56</v>
      </c>
      <c r="C92" s="10">
        <v>2015</v>
      </c>
      <c r="D92" s="11">
        <v>2016</v>
      </c>
    </row>
    <row r="93" spans="1:4" x14ac:dyDescent="0.2">
      <c r="B93" s="62" t="s">
        <v>29</v>
      </c>
      <c r="C93" s="45">
        <v>1788129.69</v>
      </c>
      <c r="D93" s="43">
        <v>1863091.55</v>
      </c>
    </row>
    <row r="94" spans="1:4" x14ac:dyDescent="0.2">
      <c r="B94" s="62" t="s">
        <v>30</v>
      </c>
      <c r="C94" s="7">
        <f>SUM(C95:C102)</f>
        <v>1785019.94</v>
      </c>
      <c r="D94" s="64">
        <f>SUM(D95:D102)</f>
        <v>1859636.8399999999</v>
      </c>
    </row>
    <row r="95" spans="1:4" x14ac:dyDescent="0.2">
      <c r="B95" s="65" t="s">
        <v>31</v>
      </c>
      <c r="C95" s="8">
        <v>197555.53</v>
      </c>
      <c r="D95" s="66">
        <v>206573.28</v>
      </c>
    </row>
    <row r="96" spans="1:4" x14ac:dyDescent="0.2">
      <c r="B96" s="65" t="s">
        <v>32</v>
      </c>
      <c r="C96" s="8">
        <v>158490.99</v>
      </c>
      <c r="D96" s="66">
        <v>155477.94</v>
      </c>
    </row>
    <row r="97" spans="2:4" x14ac:dyDescent="0.2">
      <c r="B97" s="65" t="s">
        <v>33</v>
      </c>
      <c r="C97" s="8">
        <v>121457.19</v>
      </c>
      <c r="D97" s="66">
        <v>160045.78</v>
      </c>
    </row>
    <row r="98" spans="2:4" x14ac:dyDescent="0.2">
      <c r="B98" s="65" t="s">
        <v>34</v>
      </c>
      <c r="C98" s="8">
        <v>80097.52</v>
      </c>
      <c r="D98" s="66">
        <v>81316.710000000006</v>
      </c>
    </row>
    <row r="99" spans="2:4" x14ac:dyDescent="0.2">
      <c r="B99" s="65" t="s">
        <v>35</v>
      </c>
      <c r="C99" s="8">
        <v>698478.39</v>
      </c>
      <c r="D99" s="66">
        <v>701979.13</v>
      </c>
    </row>
    <row r="100" spans="2:4" x14ac:dyDescent="0.2">
      <c r="B100" s="65" t="s">
        <v>36</v>
      </c>
      <c r="C100" s="8">
        <v>189261.04</v>
      </c>
      <c r="D100" s="66">
        <v>192218.56</v>
      </c>
    </row>
    <row r="101" spans="2:4" x14ac:dyDescent="0.2">
      <c r="B101" s="65" t="s">
        <v>37</v>
      </c>
      <c r="C101" s="8">
        <v>73638.399999999994</v>
      </c>
      <c r="D101" s="66">
        <v>78350.13</v>
      </c>
    </row>
    <row r="102" spans="2:4" x14ac:dyDescent="0.2">
      <c r="B102" s="65" t="s">
        <v>38</v>
      </c>
      <c r="C102" s="8">
        <v>266040.88</v>
      </c>
      <c r="D102" s="66">
        <v>283675.31</v>
      </c>
    </row>
    <row r="103" spans="2:4" x14ac:dyDescent="0.2">
      <c r="B103" s="62" t="s">
        <v>39</v>
      </c>
      <c r="C103" s="7">
        <f>C93-C94</f>
        <v>3109.75</v>
      </c>
      <c r="D103" s="64">
        <f>D93-D94</f>
        <v>3454.7100000001956</v>
      </c>
    </row>
    <row r="104" spans="2:4" x14ac:dyDescent="0.2">
      <c r="B104" s="62" t="s">
        <v>40</v>
      </c>
      <c r="C104" s="7">
        <f>SUM(C105:C107)</f>
        <v>20286.89</v>
      </c>
      <c r="D104" s="64">
        <f>SUM(D105:D107)</f>
        <v>22058.99</v>
      </c>
    </row>
    <row r="105" spans="2:4" x14ac:dyDescent="0.2">
      <c r="B105" s="65" t="s">
        <v>41</v>
      </c>
      <c r="C105" s="8">
        <v>0</v>
      </c>
      <c r="D105" s="66">
        <v>0</v>
      </c>
    </row>
    <row r="106" spans="2:4" x14ac:dyDescent="0.2">
      <c r="B106" s="65" t="s">
        <v>42</v>
      </c>
      <c r="C106" s="8">
        <v>0</v>
      </c>
      <c r="D106" s="66">
        <v>0</v>
      </c>
    </row>
    <row r="107" spans="2:4" x14ac:dyDescent="0.2">
      <c r="B107" s="65" t="s">
        <v>43</v>
      </c>
      <c r="C107" s="8">
        <v>20286.89</v>
      </c>
      <c r="D107" s="66">
        <v>22058.99</v>
      </c>
    </row>
    <row r="108" spans="2:4" x14ac:dyDescent="0.2">
      <c r="B108" s="62" t="s">
        <v>44</v>
      </c>
      <c r="C108" s="7">
        <v>938.01</v>
      </c>
      <c r="D108" s="64">
        <v>1362.67</v>
      </c>
    </row>
    <row r="109" spans="2:4" x14ac:dyDescent="0.2">
      <c r="B109" s="62" t="s">
        <v>45</v>
      </c>
      <c r="C109" s="7">
        <f>C103+C104-C108</f>
        <v>22458.63</v>
      </c>
      <c r="D109" s="64">
        <f>D103+D104-D108</f>
        <v>24151.030000000195</v>
      </c>
    </row>
    <row r="110" spans="2:4" x14ac:dyDescent="0.2">
      <c r="B110" s="62" t="s">
        <v>46</v>
      </c>
      <c r="C110" s="7">
        <v>4504.3900000000003</v>
      </c>
      <c r="D110" s="64">
        <v>8953.68</v>
      </c>
    </row>
    <row r="111" spans="2:4" x14ac:dyDescent="0.2">
      <c r="B111" s="62" t="s">
        <v>47</v>
      </c>
      <c r="C111" s="7">
        <v>18656.03</v>
      </c>
      <c r="D111" s="64">
        <v>20306.09</v>
      </c>
    </row>
    <row r="112" spans="2:4" x14ac:dyDescent="0.2">
      <c r="B112" s="62" t="s">
        <v>48</v>
      </c>
      <c r="C112" s="7">
        <f>C109+C110-C111</f>
        <v>8306.9900000000016</v>
      </c>
      <c r="D112" s="64">
        <f>D109+D110-D111</f>
        <v>12798.620000000195</v>
      </c>
    </row>
    <row r="113" spans="1:19" x14ac:dyDescent="0.2">
      <c r="B113" s="62" t="s">
        <v>49</v>
      </c>
      <c r="C113" s="7">
        <v>0</v>
      </c>
      <c r="D113" s="64">
        <v>0</v>
      </c>
    </row>
    <row r="114" spans="1:19" x14ac:dyDescent="0.2">
      <c r="B114" s="62" t="s">
        <v>50</v>
      </c>
      <c r="C114" s="7">
        <f>C112+C113</f>
        <v>8306.9900000000016</v>
      </c>
      <c r="D114" s="64">
        <f>D112+D113</f>
        <v>12798.620000000195</v>
      </c>
    </row>
    <row r="115" spans="1:19" x14ac:dyDescent="0.2">
      <c r="B115" s="62" t="s">
        <v>51</v>
      </c>
      <c r="C115" s="7">
        <v>0</v>
      </c>
      <c r="D115" s="64">
        <v>0</v>
      </c>
    </row>
    <row r="116" spans="1:19" x14ac:dyDescent="0.2">
      <c r="B116" s="67" t="s">
        <v>52</v>
      </c>
      <c r="C116" s="7">
        <v>0</v>
      </c>
      <c r="D116" s="64">
        <v>0</v>
      </c>
    </row>
    <row r="117" spans="1:19" x14ac:dyDescent="0.2">
      <c r="B117" s="68" t="s">
        <v>53</v>
      </c>
      <c r="C117" s="69">
        <f>C114-C115</f>
        <v>8306.9900000000016</v>
      </c>
      <c r="D117" s="70">
        <f>D114-D115</f>
        <v>12798.620000000195</v>
      </c>
    </row>
    <row r="121" spans="1:19" x14ac:dyDescent="0.2">
      <c r="A121" s="6" t="s">
        <v>162</v>
      </c>
      <c r="B121" s="6" t="s">
        <v>61</v>
      </c>
    </row>
    <row r="122" spans="1:19" x14ac:dyDescent="0.2">
      <c r="B122" s="124" t="s">
        <v>62</v>
      </c>
      <c r="C122" s="76" t="s">
        <v>63</v>
      </c>
    </row>
    <row r="123" spans="1:19" x14ac:dyDescent="0.2">
      <c r="B123" s="77" t="s">
        <v>218</v>
      </c>
      <c r="C123" s="78">
        <v>4321</v>
      </c>
    </row>
    <row r="127" spans="1:19" x14ac:dyDescent="0.2">
      <c r="A127" s="6" t="s">
        <v>163</v>
      </c>
      <c r="B127" s="6" t="s">
        <v>64</v>
      </c>
    </row>
    <row r="128" spans="1:19" ht="22.5" x14ac:dyDescent="0.2">
      <c r="B128" s="125" t="s">
        <v>13</v>
      </c>
      <c r="C128" s="79" t="s">
        <v>220</v>
      </c>
      <c r="D128" s="80" t="s">
        <v>69</v>
      </c>
      <c r="E128" s="126">
        <v>2017</v>
      </c>
      <c r="F128" s="126">
        <v>2018</v>
      </c>
      <c r="G128" s="126">
        <v>2019</v>
      </c>
      <c r="H128" s="126">
        <v>2020</v>
      </c>
      <c r="I128" s="126">
        <v>2021</v>
      </c>
      <c r="J128" s="126">
        <v>2022</v>
      </c>
      <c r="K128" s="126">
        <v>2023</v>
      </c>
      <c r="L128" s="126">
        <v>2024</v>
      </c>
      <c r="M128" s="126">
        <v>2025</v>
      </c>
      <c r="N128" s="126">
        <v>2026</v>
      </c>
      <c r="O128" s="126">
        <v>2027</v>
      </c>
      <c r="P128" s="126">
        <v>2028</v>
      </c>
      <c r="Q128" s="126">
        <v>2029</v>
      </c>
      <c r="R128" s="126">
        <v>2030</v>
      </c>
      <c r="S128" s="127">
        <v>2031</v>
      </c>
    </row>
    <row r="129" spans="2:19" x14ac:dyDescent="0.2">
      <c r="B129" s="83" t="s">
        <v>65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5"/>
    </row>
    <row r="130" spans="2:19" x14ac:dyDescent="0.2">
      <c r="B130" s="41" t="s">
        <v>0</v>
      </c>
      <c r="C130" s="133">
        <f>(D130+D131)/D132</f>
        <v>228.37113165221689</v>
      </c>
      <c r="D130" s="141">
        <f>NPV(4%,F130:S130)+E130</f>
        <v>7588495.1849112418</v>
      </c>
      <c r="E130" s="42">
        <f>C51+C53</f>
        <v>413495</v>
      </c>
      <c r="F130" s="42">
        <f>D51+D53</f>
        <v>3149255</v>
      </c>
      <c r="G130" s="42">
        <f>E51+E53</f>
        <v>4485255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60"/>
    </row>
    <row r="131" spans="2:19" x14ac:dyDescent="0.2">
      <c r="B131" s="41" t="s">
        <v>195</v>
      </c>
      <c r="C131" s="133"/>
      <c r="D131" s="45">
        <f>NPV(4%,F131:S131)+E131</f>
        <v>1949052.6462496845</v>
      </c>
      <c r="E131" s="42"/>
      <c r="F131" s="42"/>
      <c r="G131" s="42">
        <v>150000</v>
      </c>
      <c r="H131" s="42">
        <f>200000</f>
        <v>200000</v>
      </c>
      <c r="I131" s="42">
        <f>H131</f>
        <v>200000</v>
      </c>
      <c r="J131" s="42">
        <f t="shared" ref="J131:S131" si="3">I131</f>
        <v>200000</v>
      </c>
      <c r="K131" s="42">
        <f t="shared" si="3"/>
        <v>200000</v>
      </c>
      <c r="L131" s="42">
        <f t="shared" si="3"/>
        <v>200000</v>
      </c>
      <c r="M131" s="42">
        <f t="shared" si="3"/>
        <v>200000</v>
      </c>
      <c r="N131" s="42">
        <f t="shared" si="3"/>
        <v>200000</v>
      </c>
      <c r="O131" s="42">
        <f t="shared" si="3"/>
        <v>200000</v>
      </c>
      <c r="P131" s="42">
        <f t="shared" si="3"/>
        <v>200000</v>
      </c>
      <c r="Q131" s="42">
        <f t="shared" si="3"/>
        <v>200000</v>
      </c>
      <c r="R131" s="42">
        <f t="shared" si="3"/>
        <v>200000</v>
      </c>
      <c r="S131" s="60">
        <f t="shared" si="3"/>
        <v>200000</v>
      </c>
    </row>
    <row r="132" spans="2:19" x14ac:dyDescent="0.2">
      <c r="B132" s="41" t="s">
        <v>219</v>
      </c>
      <c r="C132" s="133"/>
      <c r="D132" s="45">
        <f>NPV(4%,F132:S132)+E132</f>
        <v>41763.368960685977</v>
      </c>
      <c r="E132" s="42"/>
      <c r="F132" s="42"/>
      <c r="G132" s="42">
        <f>ROUND(4321/12*8,0)</f>
        <v>2881</v>
      </c>
      <c r="H132" s="42">
        <v>4321</v>
      </c>
      <c r="I132" s="42">
        <f>H132</f>
        <v>4321</v>
      </c>
      <c r="J132" s="42">
        <f t="shared" ref="J132:S132" si="4">I132</f>
        <v>4321</v>
      </c>
      <c r="K132" s="42">
        <f t="shared" si="4"/>
        <v>4321</v>
      </c>
      <c r="L132" s="42">
        <f t="shared" si="4"/>
        <v>4321</v>
      </c>
      <c r="M132" s="42">
        <f t="shared" si="4"/>
        <v>4321</v>
      </c>
      <c r="N132" s="42">
        <f t="shared" si="4"/>
        <v>4321</v>
      </c>
      <c r="O132" s="42">
        <f t="shared" si="4"/>
        <v>4321</v>
      </c>
      <c r="P132" s="42">
        <f t="shared" si="4"/>
        <v>4321</v>
      </c>
      <c r="Q132" s="42">
        <f t="shared" si="4"/>
        <v>4321</v>
      </c>
      <c r="R132" s="42">
        <f t="shared" si="4"/>
        <v>4321</v>
      </c>
      <c r="S132" s="60">
        <f t="shared" si="4"/>
        <v>4321</v>
      </c>
    </row>
    <row r="133" spans="2:19" x14ac:dyDescent="0.2">
      <c r="B133" s="83" t="s">
        <v>66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5"/>
    </row>
    <row r="134" spans="2:19" x14ac:dyDescent="0.2">
      <c r="B134" s="41" t="s">
        <v>0</v>
      </c>
      <c r="C134" s="133">
        <f>(D134+D135)/D136</f>
        <v>255.37777732761853</v>
      </c>
      <c r="D134" s="45">
        <f>NPV(4%,F134:S134)+E134</f>
        <v>9106194.2218934912</v>
      </c>
      <c r="E134" s="42">
        <f>ROUND(1.2*E130,2)</f>
        <v>496194</v>
      </c>
      <c r="F134" s="42">
        <f>ROUND(1.2*F130,2)</f>
        <v>3779106</v>
      </c>
      <c r="G134" s="42">
        <f>ROUND(1.2*G130,2)</f>
        <v>5382306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60"/>
    </row>
    <row r="135" spans="2:19" x14ac:dyDescent="0.2">
      <c r="B135" s="41" t="s">
        <v>195</v>
      </c>
      <c r="C135" s="133"/>
      <c r="D135" s="45">
        <f>NPV(4%,F135:S135)+E135</f>
        <v>1559242.1169997475</v>
      </c>
      <c r="E135" s="42"/>
      <c r="F135" s="42"/>
      <c r="G135" s="42">
        <f>ROUND(0.8*G131,2)</f>
        <v>120000</v>
      </c>
      <c r="H135" s="42">
        <f t="shared" ref="H135:S135" si="5">ROUND(0.8*H131,2)</f>
        <v>160000</v>
      </c>
      <c r="I135" s="42">
        <f t="shared" si="5"/>
        <v>160000</v>
      </c>
      <c r="J135" s="42">
        <f t="shared" si="5"/>
        <v>160000</v>
      </c>
      <c r="K135" s="42">
        <f t="shared" si="5"/>
        <v>160000</v>
      </c>
      <c r="L135" s="42">
        <f t="shared" si="5"/>
        <v>160000</v>
      </c>
      <c r="M135" s="42">
        <f t="shared" si="5"/>
        <v>160000</v>
      </c>
      <c r="N135" s="42">
        <f t="shared" si="5"/>
        <v>160000</v>
      </c>
      <c r="O135" s="42">
        <f t="shared" si="5"/>
        <v>160000</v>
      </c>
      <c r="P135" s="42">
        <f t="shared" si="5"/>
        <v>160000</v>
      </c>
      <c r="Q135" s="42">
        <f t="shared" si="5"/>
        <v>160000</v>
      </c>
      <c r="R135" s="42">
        <f t="shared" si="5"/>
        <v>160000</v>
      </c>
      <c r="S135" s="60">
        <f t="shared" si="5"/>
        <v>160000</v>
      </c>
    </row>
    <row r="136" spans="2:19" x14ac:dyDescent="0.2">
      <c r="B136" s="41" t="s">
        <v>219</v>
      </c>
      <c r="C136" s="133"/>
      <c r="D136" s="45">
        <f>NPV(4%,F136:S136)+E136</f>
        <v>41763.368960685977</v>
      </c>
      <c r="E136" s="42"/>
      <c r="F136" s="42"/>
      <c r="G136" s="42">
        <f>G132</f>
        <v>2881</v>
      </c>
      <c r="H136" s="42">
        <f t="shared" ref="H136:S136" si="6">H132</f>
        <v>4321</v>
      </c>
      <c r="I136" s="42">
        <f t="shared" si="6"/>
        <v>4321</v>
      </c>
      <c r="J136" s="42">
        <f t="shared" si="6"/>
        <v>4321</v>
      </c>
      <c r="K136" s="42">
        <f t="shared" si="6"/>
        <v>4321</v>
      </c>
      <c r="L136" s="42">
        <f t="shared" si="6"/>
        <v>4321</v>
      </c>
      <c r="M136" s="42">
        <f t="shared" si="6"/>
        <v>4321</v>
      </c>
      <c r="N136" s="42">
        <f t="shared" si="6"/>
        <v>4321</v>
      </c>
      <c r="O136" s="42">
        <f t="shared" si="6"/>
        <v>4321</v>
      </c>
      <c r="P136" s="42">
        <f t="shared" si="6"/>
        <v>4321</v>
      </c>
      <c r="Q136" s="42">
        <f t="shared" si="6"/>
        <v>4321</v>
      </c>
      <c r="R136" s="42">
        <f t="shared" si="6"/>
        <v>4321</v>
      </c>
      <c r="S136" s="60">
        <f t="shared" si="6"/>
        <v>4321</v>
      </c>
    </row>
    <row r="137" spans="2:19" x14ac:dyDescent="0.2">
      <c r="B137" s="83" t="s">
        <v>67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5"/>
    </row>
    <row r="138" spans="2:19" x14ac:dyDescent="0.2">
      <c r="B138" s="41" t="s">
        <v>0</v>
      </c>
      <c r="C138" s="133">
        <f>(D138+D139)/D140</f>
        <v>346.39056198030028</v>
      </c>
      <c r="D138" s="45">
        <f>NPV(4%,F138:S138)+E138</f>
        <v>6829645.666420118</v>
      </c>
      <c r="E138" s="42">
        <f>ROUND(0.9*E130,2)</f>
        <v>372145.5</v>
      </c>
      <c r="F138" s="42">
        <f>ROUND(0.9*F130,2)</f>
        <v>2834329.5</v>
      </c>
      <c r="G138" s="42">
        <f>ROUND(0.9*G130,2)</f>
        <v>4036729.5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60"/>
    </row>
    <row r="139" spans="2:19" x14ac:dyDescent="0.2">
      <c r="B139" s="41" t="s">
        <v>195</v>
      </c>
      <c r="C139" s="133"/>
      <c r="D139" s="45">
        <f>NPV(4%,F139:S139)+E139</f>
        <v>1851600.0139372</v>
      </c>
      <c r="E139" s="42"/>
      <c r="F139" s="42"/>
      <c r="G139" s="42">
        <f>ROUND(0.95*G131,2)</f>
        <v>142500</v>
      </c>
      <c r="H139" s="42">
        <f t="shared" ref="H139:S139" si="7">ROUND(0.95*H131,2)</f>
        <v>190000</v>
      </c>
      <c r="I139" s="42">
        <f t="shared" si="7"/>
        <v>190000</v>
      </c>
      <c r="J139" s="42">
        <f t="shared" si="7"/>
        <v>190000</v>
      </c>
      <c r="K139" s="42">
        <f t="shared" si="7"/>
        <v>190000</v>
      </c>
      <c r="L139" s="42">
        <f t="shared" si="7"/>
        <v>190000</v>
      </c>
      <c r="M139" s="42">
        <f t="shared" si="7"/>
        <v>190000</v>
      </c>
      <c r="N139" s="42">
        <f t="shared" si="7"/>
        <v>190000</v>
      </c>
      <c r="O139" s="42">
        <f t="shared" si="7"/>
        <v>190000</v>
      </c>
      <c r="P139" s="42">
        <f t="shared" si="7"/>
        <v>190000</v>
      </c>
      <c r="Q139" s="42">
        <f t="shared" si="7"/>
        <v>190000</v>
      </c>
      <c r="R139" s="42">
        <f t="shared" si="7"/>
        <v>190000</v>
      </c>
      <c r="S139" s="60">
        <f t="shared" si="7"/>
        <v>190000</v>
      </c>
    </row>
    <row r="140" spans="2:19" x14ac:dyDescent="0.2">
      <c r="B140" s="41" t="s">
        <v>219</v>
      </c>
      <c r="C140" s="133"/>
      <c r="D140" s="45">
        <f>NPV(4%,F140:S140)+E140</f>
        <v>25062.015635550237</v>
      </c>
      <c r="E140" s="42"/>
      <c r="F140" s="42"/>
      <c r="G140" s="42">
        <f>ROUND(0.6*G132,0)</f>
        <v>1729</v>
      </c>
      <c r="H140" s="42">
        <f t="shared" ref="H140:S140" si="8">ROUND(0.6*H132,0)</f>
        <v>2593</v>
      </c>
      <c r="I140" s="42">
        <f t="shared" si="8"/>
        <v>2593</v>
      </c>
      <c r="J140" s="42">
        <f t="shared" si="8"/>
        <v>2593</v>
      </c>
      <c r="K140" s="42">
        <f t="shared" si="8"/>
        <v>2593</v>
      </c>
      <c r="L140" s="42">
        <f t="shared" si="8"/>
        <v>2593</v>
      </c>
      <c r="M140" s="42">
        <f t="shared" si="8"/>
        <v>2593</v>
      </c>
      <c r="N140" s="42">
        <f t="shared" si="8"/>
        <v>2593</v>
      </c>
      <c r="O140" s="42">
        <f t="shared" si="8"/>
        <v>2593</v>
      </c>
      <c r="P140" s="42">
        <f t="shared" si="8"/>
        <v>2593</v>
      </c>
      <c r="Q140" s="42">
        <f t="shared" si="8"/>
        <v>2593</v>
      </c>
      <c r="R140" s="42">
        <f t="shared" si="8"/>
        <v>2593</v>
      </c>
      <c r="S140" s="60">
        <f t="shared" si="8"/>
        <v>2593</v>
      </c>
    </row>
    <row r="141" spans="2:19" x14ac:dyDescent="0.2">
      <c r="B141" s="83" t="s">
        <v>68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5"/>
    </row>
    <row r="142" spans="2:19" x14ac:dyDescent="0.2">
      <c r="B142" s="41" t="s">
        <v>0</v>
      </c>
      <c r="C142" s="133"/>
      <c r="D142" s="45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60"/>
    </row>
    <row r="143" spans="2:19" x14ac:dyDescent="0.2">
      <c r="B143" s="50" t="s">
        <v>219</v>
      </c>
      <c r="C143" s="134"/>
      <c r="D143" s="82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61"/>
    </row>
    <row r="147" spans="1:17" x14ac:dyDescent="0.2">
      <c r="A147" s="6" t="s">
        <v>164</v>
      </c>
      <c r="B147" s="6" t="s">
        <v>70</v>
      </c>
    </row>
    <row r="148" spans="1:17" x14ac:dyDescent="0.2">
      <c r="B148" s="125" t="s">
        <v>13</v>
      </c>
      <c r="C148" s="126">
        <v>2017</v>
      </c>
      <c r="D148" s="126">
        <v>2018</v>
      </c>
      <c r="E148" s="126">
        <v>2019</v>
      </c>
      <c r="F148" s="126">
        <v>2020</v>
      </c>
      <c r="G148" s="126">
        <v>2021</v>
      </c>
      <c r="H148" s="126">
        <v>2022</v>
      </c>
      <c r="I148" s="126">
        <v>2023</v>
      </c>
      <c r="J148" s="126">
        <v>2024</v>
      </c>
      <c r="K148" s="126">
        <v>2025</v>
      </c>
      <c r="L148" s="126">
        <v>2026</v>
      </c>
      <c r="M148" s="126">
        <v>2027</v>
      </c>
      <c r="N148" s="126">
        <v>2028</v>
      </c>
      <c r="O148" s="126">
        <v>2029</v>
      </c>
      <c r="P148" s="126">
        <v>2030</v>
      </c>
      <c r="Q148" s="127">
        <v>2031</v>
      </c>
    </row>
    <row r="149" spans="1:17" x14ac:dyDescent="0.2">
      <c r="B149" s="41" t="s">
        <v>71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60"/>
    </row>
    <row r="150" spans="1:17" x14ac:dyDescent="0.2">
      <c r="B150" s="41" t="s">
        <v>72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60"/>
    </row>
    <row r="151" spans="1:17" x14ac:dyDescent="0.2">
      <c r="B151" s="86" t="s">
        <v>16</v>
      </c>
      <c r="C151" s="82">
        <f>C149+C150</f>
        <v>0</v>
      </c>
      <c r="D151" s="82">
        <f t="shared" ref="D151:Q151" si="9">D149+D150</f>
        <v>0</v>
      </c>
      <c r="E151" s="82">
        <f t="shared" si="9"/>
        <v>0</v>
      </c>
      <c r="F151" s="82">
        <f t="shared" si="9"/>
        <v>0</v>
      </c>
      <c r="G151" s="82">
        <f t="shared" si="9"/>
        <v>0</v>
      </c>
      <c r="H151" s="82">
        <f t="shared" si="9"/>
        <v>0</v>
      </c>
      <c r="I151" s="82">
        <f t="shared" si="9"/>
        <v>0</v>
      </c>
      <c r="J151" s="82">
        <f t="shared" si="9"/>
        <v>0</v>
      </c>
      <c r="K151" s="82">
        <f t="shared" si="9"/>
        <v>0</v>
      </c>
      <c r="L151" s="82">
        <f t="shared" si="9"/>
        <v>0</v>
      </c>
      <c r="M151" s="82">
        <f t="shared" si="9"/>
        <v>0</v>
      </c>
      <c r="N151" s="82">
        <f t="shared" si="9"/>
        <v>0</v>
      </c>
      <c r="O151" s="82">
        <f t="shared" si="9"/>
        <v>0</v>
      </c>
      <c r="P151" s="82">
        <f t="shared" si="9"/>
        <v>0</v>
      </c>
      <c r="Q151" s="87">
        <f t="shared" si="9"/>
        <v>0</v>
      </c>
    </row>
    <row r="155" spans="1:17" x14ac:dyDescent="0.2">
      <c r="A155" s="6" t="s">
        <v>165</v>
      </c>
      <c r="B155" s="6" t="s">
        <v>79</v>
      </c>
    </row>
    <row r="156" spans="1:17" x14ac:dyDescent="0.2">
      <c r="B156" s="125" t="s">
        <v>13</v>
      </c>
      <c r="C156" s="126">
        <f t="shared" ref="C156:Q156" si="10">C$148</f>
        <v>2017</v>
      </c>
      <c r="D156" s="126">
        <f t="shared" si="10"/>
        <v>2018</v>
      </c>
      <c r="E156" s="126">
        <f t="shared" si="10"/>
        <v>2019</v>
      </c>
      <c r="F156" s="126">
        <f t="shared" si="10"/>
        <v>2020</v>
      </c>
      <c r="G156" s="126">
        <f t="shared" si="10"/>
        <v>2021</v>
      </c>
      <c r="H156" s="126">
        <f t="shared" si="10"/>
        <v>2022</v>
      </c>
      <c r="I156" s="126">
        <f t="shared" si="10"/>
        <v>2023</v>
      </c>
      <c r="J156" s="126">
        <f t="shared" si="10"/>
        <v>2024</v>
      </c>
      <c r="K156" s="126">
        <f t="shared" si="10"/>
        <v>2025</v>
      </c>
      <c r="L156" s="126">
        <f t="shared" si="10"/>
        <v>2026</v>
      </c>
      <c r="M156" s="126">
        <f t="shared" si="10"/>
        <v>2027</v>
      </c>
      <c r="N156" s="126">
        <f t="shared" si="10"/>
        <v>2028</v>
      </c>
      <c r="O156" s="126">
        <f t="shared" si="10"/>
        <v>2029</v>
      </c>
      <c r="P156" s="126">
        <f t="shared" si="10"/>
        <v>2030</v>
      </c>
      <c r="Q156" s="127">
        <f t="shared" si="10"/>
        <v>2031</v>
      </c>
    </row>
    <row r="157" spans="1:17" x14ac:dyDescent="0.2">
      <c r="B157" s="129" t="s">
        <v>229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30"/>
    </row>
    <row r="158" spans="1:17" x14ac:dyDescent="0.2">
      <c r="B158" s="91" t="s">
        <v>0</v>
      </c>
      <c r="C158" s="42"/>
      <c r="D158" s="42"/>
      <c r="E158" s="42">
        <f>F16+F18+F21+F23</f>
        <v>4386000</v>
      </c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60"/>
    </row>
    <row r="159" spans="1:17" x14ac:dyDescent="0.2">
      <c r="B159" s="91" t="s">
        <v>77</v>
      </c>
      <c r="C159" s="42"/>
      <c r="D159" s="42"/>
      <c r="E159" s="42">
        <f>E158</f>
        <v>4386000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60"/>
    </row>
    <row r="160" spans="1:17" x14ac:dyDescent="0.2">
      <c r="B160" s="91" t="s">
        <v>233</v>
      </c>
      <c r="C160" s="42"/>
      <c r="D160" s="42"/>
      <c r="E160" s="42">
        <v>8</v>
      </c>
      <c r="F160" s="42">
        <v>12</v>
      </c>
      <c r="G160" s="42">
        <f>F160</f>
        <v>12</v>
      </c>
      <c r="H160" s="42">
        <f t="shared" ref="H160:Q160" si="11">G160</f>
        <v>12</v>
      </c>
      <c r="I160" s="42">
        <f t="shared" si="11"/>
        <v>12</v>
      </c>
      <c r="J160" s="42">
        <f t="shared" si="11"/>
        <v>12</v>
      </c>
      <c r="K160" s="42">
        <f t="shared" si="11"/>
        <v>12</v>
      </c>
      <c r="L160" s="42">
        <f t="shared" si="11"/>
        <v>12</v>
      </c>
      <c r="M160" s="42">
        <f t="shared" si="11"/>
        <v>12</v>
      </c>
      <c r="N160" s="42">
        <f t="shared" si="11"/>
        <v>12</v>
      </c>
      <c r="O160" s="42">
        <f t="shared" si="11"/>
        <v>12</v>
      </c>
      <c r="P160" s="42">
        <f t="shared" si="11"/>
        <v>12</v>
      </c>
      <c r="Q160" s="60">
        <f t="shared" si="11"/>
        <v>12</v>
      </c>
    </row>
    <row r="161" spans="2:17" x14ac:dyDescent="0.2">
      <c r="B161" s="91" t="s">
        <v>75</v>
      </c>
      <c r="C161" s="42"/>
      <c r="D161" s="42"/>
      <c r="E161" s="42">
        <f>ROUND($E$159*amortyzacja/12*E160,2)</f>
        <v>131580</v>
      </c>
      <c r="F161" s="42">
        <f>ROUND($E$159*amortyzacja,2)</f>
        <v>197370</v>
      </c>
      <c r="G161" s="42">
        <f>F161</f>
        <v>197370</v>
      </c>
      <c r="H161" s="42">
        <f t="shared" ref="H161:Q161" si="12">G161</f>
        <v>197370</v>
      </c>
      <c r="I161" s="42">
        <f t="shared" si="12"/>
        <v>197370</v>
      </c>
      <c r="J161" s="42">
        <f t="shared" si="12"/>
        <v>197370</v>
      </c>
      <c r="K161" s="42">
        <f t="shared" si="12"/>
        <v>197370</v>
      </c>
      <c r="L161" s="42">
        <f t="shared" si="12"/>
        <v>197370</v>
      </c>
      <c r="M161" s="42">
        <f t="shared" si="12"/>
        <v>197370</v>
      </c>
      <c r="N161" s="42">
        <f t="shared" si="12"/>
        <v>197370</v>
      </c>
      <c r="O161" s="42">
        <f t="shared" si="12"/>
        <v>197370</v>
      </c>
      <c r="P161" s="42">
        <f t="shared" si="12"/>
        <v>197370</v>
      </c>
      <c r="Q161" s="60">
        <f t="shared" si="12"/>
        <v>197370</v>
      </c>
    </row>
    <row r="162" spans="2:17" x14ac:dyDescent="0.2">
      <c r="B162" s="91" t="s">
        <v>76</v>
      </c>
      <c r="C162" s="42"/>
      <c r="D162" s="42"/>
      <c r="E162" s="42">
        <f>E161</f>
        <v>131580</v>
      </c>
      <c r="F162" s="42">
        <f>E162+F161</f>
        <v>328950</v>
      </c>
      <c r="G162" s="42">
        <f t="shared" ref="G162:Q162" si="13">F162+G161</f>
        <v>526320</v>
      </c>
      <c r="H162" s="42">
        <f t="shared" si="13"/>
        <v>723690</v>
      </c>
      <c r="I162" s="42">
        <f t="shared" si="13"/>
        <v>921060</v>
      </c>
      <c r="J162" s="42">
        <f t="shared" si="13"/>
        <v>1118430</v>
      </c>
      <c r="K162" s="42">
        <f t="shared" si="13"/>
        <v>1315800</v>
      </c>
      <c r="L162" s="42">
        <f t="shared" si="13"/>
        <v>1513170</v>
      </c>
      <c r="M162" s="42">
        <f t="shared" si="13"/>
        <v>1710540</v>
      </c>
      <c r="N162" s="42">
        <f t="shared" si="13"/>
        <v>1907910</v>
      </c>
      <c r="O162" s="42">
        <f t="shared" si="13"/>
        <v>2105280</v>
      </c>
      <c r="P162" s="42">
        <f t="shared" si="13"/>
        <v>2302650</v>
      </c>
      <c r="Q162" s="60">
        <f t="shared" si="13"/>
        <v>2500020</v>
      </c>
    </row>
    <row r="163" spans="2:17" x14ac:dyDescent="0.2">
      <c r="B163" s="91" t="s">
        <v>78</v>
      </c>
      <c r="C163" s="46"/>
      <c r="D163" s="42"/>
      <c r="E163" s="42">
        <f>$E$159-E162</f>
        <v>4254420</v>
      </c>
      <c r="F163" s="42">
        <f t="shared" ref="F163:Q163" si="14">$E$159-F162</f>
        <v>4057050</v>
      </c>
      <c r="G163" s="42">
        <f t="shared" si="14"/>
        <v>3859680</v>
      </c>
      <c r="H163" s="42">
        <f t="shared" si="14"/>
        <v>3662310</v>
      </c>
      <c r="I163" s="42">
        <f t="shared" si="14"/>
        <v>3464940</v>
      </c>
      <c r="J163" s="42">
        <f t="shared" si="14"/>
        <v>3267570</v>
      </c>
      <c r="K163" s="42">
        <f t="shared" si="14"/>
        <v>3070200</v>
      </c>
      <c r="L163" s="42">
        <f t="shared" si="14"/>
        <v>2872830</v>
      </c>
      <c r="M163" s="42">
        <f t="shared" si="14"/>
        <v>2675460</v>
      </c>
      <c r="N163" s="42">
        <f t="shared" si="14"/>
        <v>2478090</v>
      </c>
      <c r="O163" s="42">
        <f t="shared" si="14"/>
        <v>2280720</v>
      </c>
      <c r="P163" s="42">
        <f t="shared" si="14"/>
        <v>2083350</v>
      </c>
      <c r="Q163" s="60">
        <f t="shared" si="14"/>
        <v>1885980</v>
      </c>
    </row>
    <row r="164" spans="2:17" x14ac:dyDescent="0.2">
      <c r="B164" s="143" t="s">
        <v>234</v>
      </c>
      <c r="C164" s="144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5"/>
    </row>
    <row r="165" spans="2:17" x14ac:dyDescent="0.2">
      <c r="B165" s="91" t="s">
        <v>235</v>
      </c>
      <c r="C165" s="46"/>
      <c r="D165" s="42"/>
      <c r="E165" s="42"/>
      <c r="F165" s="42"/>
      <c r="G165" s="42"/>
      <c r="H165" s="42"/>
      <c r="I165" s="42"/>
      <c r="J165" s="42">
        <f>ROUND(5%*J161,2)</f>
        <v>9868.5</v>
      </c>
      <c r="K165" s="42"/>
      <c r="L165" s="42"/>
      <c r="M165" s="42"/>
      <c r="N165" s="42"/>
      <c r="O165" s="42">
        <f>ROUND(5%*O161,2)</f>
        <v>9868.5</v>
      </c>
      <c r="P165" s="42"/>
      <c r="Q165" s="60"/>
    </row>
    <row r="166" spans="2:17" x14ac:dyDescent="0.2">
      <c r="B166" s="91" t="s">
        <v>233</v>
      </c>
      <c r="C166" s="46"/>
      <c r="D166" s="42"/>
      <c r="E166" s="42"/>
      <c r="F166" s="42"/>
      <c r="G166" s="42"/>
      <c r="H166" s="42"/>
      <c r="I166" s="42"/>
      <c r="J166" s="42">
        <f>12</f>
        <v>12</v>
      </c>
      <c r="K166" s="42">
        <f>12</f>
        <v>12</v>
      </c>
      <c r="L166" s="42">
        <f>12</f>
        <v>12</v>
      </c>
      <c r="M166" s="42">
        <f>12</f>
        <v>12</v>
      </c>
      <c r="N166" s="42">
        <f>12</f>
        <v>12</v>
      </c>
      <c r="O166" s="42">
        <f>12</f>
        <v>12</v>
      </c>
      <c r="P166" s="42">
        <f>12</f>
        <v>12</v>
      </c>
      <c r="Q166" s="60">
        <f>12</f>
        <v>12</v>
      </c>
    </row>
    <row r="167" spans="2:17" x14ac:dyDescent="0.2">
      <c r="B167" s="91" t="s">
        <v>75</v>
      </c>
      <c r="C167" s="46"/>
      <c r="D167" s="42"/>
      <c r="E167" s="42"/>
      <c r="F167" s="42"/>
      <c r="G167" s="42"/>
      <c r="H167" s="42"/>
      <c r="I167" s="42"/>
      <c r="J167" s="42"/>
      <c r="K167" s="42">
        <f>$J$165*amortyzacja</f>
        <v>444.08249999999998</v>
      </c>
      <c r="L167" s="42">
        <f>K167</f>
        <v>444.08249999999998</v>
      </c>
      <c r="M167" s="42">
        <f t="shared" ref="M167:Q167" si="15">L167</f>
        <v>444.08249999999998</v>
      </c>
      <c r="N167" s="42">
        <f t="shared" si="15"/>
        <v>444.08249999999998</v>
      </c>
      <c r="O167" s="42">
        <f t="shared" si="15"/>
        <v>444.08249999999998</v>
      </c>
      <c r="P167" s="149">
        <f>O167+(O165*amortyzacja)</f>
        <v>888.16499999999996</v>
      </c>
      <c r="Q167" s="60">
        <f t="shared" si="15"/>
        <v>888.16499999999996</v>
      </c>
    </row>
    <row r="168" spans="2:17" x14ac:dyDescent="0.2">
      <c r="B168" s="91" t="s">
        <v>76</v>
      </c>
      <c r="C168" s="46"/>
      <c r="D168" s="42"/>
      <c r="E168" s="42"/>
      <c r="F168" s="42"/>
      <c r="G168" s="42"/>
      <c r="H168" s="42"/>
      <c r="I168" s="42"/>
      <c r="J168" s="42"/>
      <c r="K168" s="42">
        <f>K167</f>
        <v>444.08249999999998</v>
      </c>
      <c r="L168" s="42">
        <f>K168+L167</f>
        <v>888.16499999999996</v>
      </c>
      <c r="M168" s="42">
        <f t="shared" ref="M168:Q168" si="16">L168+M167</f>
        <v>1332.2474999999999</v>
      </c>
      <c r="N168" s="42">
        <f t="shared" si="16"/>
        <v>1776.33</v>
      </c>
      <c r="O168" s="42">
        <f t="shared" si="16"/>
        <v>2220.4124999999999</v>
      </c>
      <c r="P168" s="42">
        <f t="shared" si="16"/>
        <v>3108.5774999999999</v>
      </c>
      <c r="Q168" s="60">
        <f t="shared" si="16"/>
        <v>3996.7424999999998</v>
      </c>
    </row>
    <row r="169" spans="2:17" x14ac:dyDescent="0.2">
      <c r="B169" s="91" t="s">
        <v>78</v>
      </c>
      <c r="C169" s="46"/>
      <c r="D169" s="42"/>
      <c r="E169" s="42"/>
      <c r="F169" s="42"/>
      <c r="G169" s="42"/>
      <c r="H169" s="42"/>
      <c r="I169" s="42"/>
      <c r="J169" s="42">
        <f>J165</f>
        <v>9868.5</v>
      </c>
      <c r="K169" s="42">
        <f>$J$165-K168</f>
        <v>9424.4174999999996</v>
      </c>
      <c r="L169" s="42">
        <f t="shared" ref="L169:N169" si="17">$J$165-L168</f>
        <v>8980.3349999999991</v>
      </c>
      <c r="M169" s="42">
        <f t="shared" si="17"/>
        <v>8536.2525000000005</v>
      </c>
      <c r="N169" s="42">
        <f t="shared" si="17"/>
        <v>8092.17</v>
      </c>
      <c r="O169" s="149">
        <f>$J$165-O168+$O$165</f>
        <v>17516.587500000001</v>
      </c>
      <c r="P169" s="149">
        <f t="shared" ref="P169:Q169" si="18">$J$165-P168+$O$165</f>
        <v>16628.422500000001</v>
      </c>
      <c r="Q169" s="150">
        <f t="shared" si="18"/>
        <v>15740.2575</v>
      </c>
    </row>
    <row r="170" spans="2:17" x14ac:dyDescent="0.2">
      <c r="B170" s="146" t="s">
        <v>236</v>
      </c>
      <c r="C170" s="46"/>
      <c r="D170" s="42"/>
      <c r="E170" s="147">
        <f>E163+E169</f>
        <v>4254420</v>
      </c>
      <c r="F170" s="147">
        <f t="shared" ref="F170:Q170" si="19">F163+F169</f>
        <v>4057050</v>
      </c>
      <c r="G170" s="147">
        <f t="shared" si="19"/>
        <v>3859680</v>
      </c>
      <c r="H170" s="147">
        <f t="shared" si="19"/>
        <v>3662310</v>
      </c>
      <c r="I170" s="147">
        <f t="shared" si="19"/>
        <v>3464940</v>
      </c>
      <c r="J170" s="147">
        <f t="shared" si="19"/>
        <v>3277438.5</v>
      </c>
      <c r="K170" s="147">
        <f t="shared" si="19"/>
        <v>3079624.4175</v>
      </c>
      <c r="L170" s="147">
        <f t="shared" si="19"/>
        <v>2881810.335</v>
      </c>
      <c r="M170" s="147">
        <f t="shared" si="19"/>
        <v>2683996.2524999999</v>
      </c>
      <c r="N170" s="147">
        <f t="shared" si="19"/>
        <v>2486182.17</v>
      </c>
      <c r="O170" s="147">
        <f t="shared" si="19"/>
        <v>2298236.5874999999</v>
      </c>
      <c r="P170" s="147">
        <f t="shared" si="19"/>
        <v>2099978.4224999999</v>
      </c>
      <c r="Q170" s="148">
        <f t="shared" si="19"/>
        <v>1901720.2575000001</v>
      </c>
    </row>
    <row r="171" spans="2:17" x14ac:dyDescent="0.2">
      <c r="B171" s="129" t="s">
        <v>230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30"/>
    </row>
    <row r="172" spans="2:17" x14ac:dyDescent="0.2">
      <c r="B172" s="91" t="s">
        <v>0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60"/>
    </row>
    <row r="173" spans="2:17" x14ac:dyDescent="0.2">
      <c r="B173" s="91" t="s">
        <v>77</v>
      </c>
      <c r="C173" s="42"/>
      <c r="D173" s="42"/>
      <c r="E173" s="42">
        <f>F26+F28</f>
        <v>1300000</v>
      </c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60"/>
    </row>
    <row r="174" spans="2:17" x14ac:dyDescent="0.2">
      <c r="B174" s="91" t="s">
        <v>233</v>
      </c>
      <c r="C174" s="42"/>
      <c r="D174" s="42"/>
      <c r="E174" s="42">
        <f>E160</f>
        <v>8</v>
      </c>
      <c r="F174" s="42">
        <f>F160</f>
        <v>12</v>
      </c>
      <c r="G174" s="42">
        <f>G160</f>
        <v>12</v>
      </c>
      <c r="H174" s="42">
        <f>H160</f>
        <v>12</v>
      </c>
      <c r="I174" s="42">
        <f>I160</f>
        <v>12</v>
      </c>
      <c r="J174" s="42">
        <f>J160</f>
        <v>12</v>
      </c>
      <c r="K174" s="42">
        <f>K160</f>
        <v>12</v>
      </c>
      <c r="L174" s="42"/>
      <c r="M174" s="42">
        <v>0</v>
      </c>
      <c r="N174" s="42">
        <v>0</v>
      </c>
      <c r="O174" s="42">
        <v>0</v>
      </c>
      <c r="P174" s="42">
        <v>0</v>
      </c>
      <c r="Q174" s="60">
        <v>0</v>
      </c>
    </row>
    <row r="175" spans="2:17" x14ac:dyDescent="0.2">
      <c r="B175" s="91" t="s">
        <v>75</v>
      </c>
      <c r="C175" s="42"/>
      <c r="D175" s="42"/>
      <c r="E175" s="42">
        <f>ROUND(E173*am_u1/12*E174,2)</f>
        <v>121333.33</v>
      </c>
      <c r="F175" s="42">
        <f>ROUND($E$173*am_u1,2)</f>
        <v>182000</v>
      </c>
      <c r="G175" s="42">
        <f>ROUND($E$173*am_u1,2)</f>
        <v>182000</v>
      </c>
      <c r="H175" s="42">
        <f>ROUND($E$173*am_u1,2)</f>
        <v>182000</v>
      </c>
      <c r="I175" s="42">
        <f>ROUND($E$173*am_u1,2)</f>
        <v>182000</v>
      </c>
      <c r="J175" s="42">
        <f>ROUND($E$173*am_u1,2)</f>
        <v>182000</v>
      </c>
      <c r="K175" s="42">
        <f>ROUND($E$173*am_u1,2)</f>
        <v>182000</v>
      </c>
      <c r="L175" s="142">
        <f>K177</f>
        <v>86666.669999999925</v>
      </c>
      <c r="M175" s="42">
        <v>0</v>
      </c>
      <c r="N175" s="42"/>
      <c r="O175" s="42"/>
      <c r="P175" s="42"/>
      <c r="Q175" s="60"/>
    </row>
    <row r="176" spans="2:17" x14ac:dyDescent="0.2">
      <c r="B176" s="91" t="s">
        <v>76</v>
      </c>
      <c r="C176" s="42"/>
      <c r="D176" s="42"/>
      <c r="E176" s="42">
        <f>E175</f>
        <v>121333.33</v>
      </c>
      <c r="F176" s="42">
        <f>E176+F175</f>
        <v>303333.33</v>
      </c>
      <c r="G176" s="42">
        <f t="shared" ref="G176:Q176" si="20">F176+G175</f>
        <v>485333.33</v>
      </c>
      <c r="H176" s="42">
        <f t="shared" si="20"/>
        <v>667333.33000000007</v>
      </c>
      <c r="I176" s="42">
        <f t="shared" si="20"/>
        <v>849333.33000000007</v>
      </c>
      <c r="J176" s="42">
        <f t="shared" si="20"/>
        <v>1031333.3300000001</v>
      </c>
      <c r="K176" s="42">
        <f t="shared" si="20"/>
        <v>1213333.33</v>
      </c>
      <c r="L176" s="42">
        <f t="shared" si="20"/>
        <v>1300000</v>
      </c>
      <c r="M176" s="42">
        <f t="shared" si="20"/>
        <v>1300000</v>
      </c>
      <c r="N176" s="42">
        <f t="shared" si="20"/>
        <v>1300000</v>
      </c>
      <c r="O176" s="42">
        <f t="shared" si="20"/>
        <v>1300000</v>
      </c>
      <c r="P176" s="42">
        <f t="shared" si="20"/>
        <v>1300000</v>
      </c>
      <c r="Q176" s="60">
        <f t="shared" si="20"/>
        <v>1300000</v>
      </c>
    </row>
    <row r="177" spans="2:17" x14ac:dyDescent="0.2">
      <c r="B177" s="91" t="s">
        <v>78</v>
      </c>
      <c r="C177" s="46"/>
      <c r="D177" s="42"/>
      <c r="E177" s="42">
        <f>$E$173-E176</f>
        <v>1178666.67</v>
      </c>
      <c r="F177" s="42">
        <f>$E$173-F176</f>
        <v>996666.66999999993</v>
      </c>
      <c r="G177" s="42">
        <f t="shared" ref="G177:Q177" si="21">$E$173-G176</f>
        <v>814666.66999999993</v>
      </c>
      <c r="H177" s="42">
        <f t="shared" si="21"/>
        <v>632666.66999999993</v>
      </c>
      <c r="I177" s="42">
        <f t="shared" si="21"/>
        <v>450666.66999999993</v>
      </c>
      <c r="J177" s="42">
        <f t="shared" si="21"/>
        <v>268666.66999999993</v>
      </c>
      <c r="K177" s="42">
        <f t="shared" si="21"/>
        <v>86666.669999999925</v>
      </c>
      <c r="L177" s="42">
        <f t="shared" si="21"/>
        <v>0</v>
      </c>
      <c r="M177" s="42">
        <f t="shared" si="21"/>
        <v>0</v>
      </c>
      <c r="N177" s="42">
        <f t="shared" si="21"/>
        <v>0</v>
      </c>
      <c r="O177" s="42">
        <f t="shared" si="21"/>
        <v>0</v>
      </c>
      <c r="P177" s="42">
        <f t="shared" si="21"/>
        <v>0</v>
      </c>
      <c r="Q177" s="60">
        <f t="shared" si="21"/>
        <v>0</v>
      </c>
    </row>
    <row r="178" spans="2:17" x14ac:dyDescent="0.2">
      <c r="B178" s="129" t="s">
        <v>231</v>
      </c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30"/>
    </row>
    <row r="179" spans="2:17" x14ac:dyDescent="0.2">
      <c r="B179" s="91" t="s">
        <v>0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60"/>
    </row>
    <row r="180" spans="2:17" x14ac:dyDescent="0.2">
      <c r="B180" s="91" t="s">
        <v>77</v>
      </c>
      <c r="C180" s="42"/>
      <c r="D180" s="42"/>
      <c r="E180" s="42">
        <f>F31+F33</f>
        <v>650000</v>
      </c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60"/>
    </row>
    <row r="181" spans="2:17" x14ac:dyDescent="0.2">
      <c r="B181" s="91" t="s">
        <v>233</v>
      </c>
      <c r="C181" s="42"/>
      <c r="D181" s="42"/>
      <c r="E181" s="42">
        <f>E174</f>
        <v>8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60"/>
    </row>
    <row r="182" spans="2:17" x14ac:dyDescent="0.2">
      <c r="B182" s="91" t="s">
        <v>75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60"/>
    </row>
    <row r="183" spans="2:17" x14ac:dyDescent="0.2">
      <c r="B183" s="91" t="s">
        <v>76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60"/>
    </row>
    <row r="184" spans="2:17" x14ac:dyDescent="0.2">
      <c r="B184" s="91" t="s">
        <v>78</v>
      </c>
      <c r="C184" s="46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60"/>
    </row>
    <row r="185" spans="2:17" x14ac:dyDescent="0.2">
      <c r="B185" s="129" t="s">
        <v>232</v>
      </c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30"/>
    </row>
    <row r="186" spans="2:17" x14ac:dyDescent="0.2">
      <c r="B186" s="91" t="s">
        <v>0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60"/>
    </row>
    <row r="187" spans="2:17" x14ac:dyDescent="0.2">
      <c r="B187" s="91" t="s">
        <v>77</v>
      </c>
      <c r="C187" s="42"/>
      <c r="D187" s="42"/>
      <c r="E187" s="42">
        <f>F36+F38</f>
        <v>1700000</v>
      </c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60"/>
    </row>
    <row r="188" spans="2:17" x14ac:dyDescent="0.2">
      <c r="B188" s="91" t="s">
        <v>233</v>
      </c>
      <c r="C188" s="42"/>
      <c r="D188" s="42"/>
      <c r="E188" s="42">
        <f>E181</f>
        <v>8</v>
      </c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60"/>
    </row>
    <row r="189" spans="2:17" x14ac:dyDescent="0.2">
      <c r="B189" s="91" t="s">
        <v>75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60"/>
    </row>
    <row r="190" spans="2:17" x14ac:dyDescent="0.2">
      <c r="B190" s="91" t="s">
        <v>76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60"/>
    </row>
    <row r="191" spans="2:17" x14ac:dyDescent="0.2">
      <c r="B191" s="92" t="s">
        <v>78</v>
      </c>
      <c r="C191" s="71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61"/>
    </row>
    <row r="192" spans="2:17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5" spans="1:18" x14ac:dyDescent="0.2">
      <c r="A195" s="6" t="s">
        <v>166</v>
      </c>
      <c r="B195" s="6" t="s">
        <v>80</v>
      </c>
    </row>
    <row r="196" spans="1:18" x14ac:dyDescent="0.2">
      <c r="B196" s="125" t="s">
        <v>13</v>
      </c>
      <c r="C196" s="126">
        <f t="shared" ref="C196:Q196" si="22">C$148</f>
        <v>2017</v>
      </c>
      <c r="D196" s="126">
        <f t="shared" si="22"/>
        <v>2018</v>
      </c>
      <c r="E196" s="126">
        <f t="shared" si="22"/>
        <v>2019</v>
      </c>
      <c r="F196" s="126">
        <f t="shared" si="22"/>
        <v>2020</v>
      </c>
      <c r="G196" s="126">
        <f t="shared" si="22"/>
        <v>2021</v>
      </c>
      <c r="H196" s="126">
        <f t="shared" si="22"/>
        <v>2022</v>
      </c>
      <c r="I196" s="126">
        <f t="shared" si="22"/>
        <v>2023</v>
      </c>
      <c r="J196" s="126">
        <f t="shared" si="22"/>
        <v>2024</v>
      </c>
      <c r="K196" s="126">
        <f t="shared" si="22"/>
        <v>2025</v>
      </c>
      <c r="L196" s="126">
        <f t="shared" si="22"/>
        <v>2026</v>
      </c>
      <c r="M196" s="126">
        <f t="shared" si="22"/>
        <v>2027</v>
      </c>
      <c r="N196" s="126">
        <f t="shared" si="22"/>
        <v>2028</v>
      </c>
      <c r="O196" s="126">
        <f t="shared" si="22"/>
        <v>2029</v>
      </c>
      <c r="P196" s="126">
        <f t="shared" si="22"/>
        <v>2030</v>
      </c>
      <c r="Q196" s="127">
        <f t="shared" si="22"/>
        <v>2031</v>
      </c>
    </row>
    <row r="197" spans="1:18" x14ac:dyDescent="0.2">
      <c r="B197" s="41" t="s">
        <v>81</v>
      </c>
      <c r="C197" s="42"/>
      <c r="D197" s="42"/>
      <c r="E197" s="42">
        <f>E381</f>
        <v>5458122</v>
      </c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7"/>
    </row>
    <row r="198" spans="1:18" x14ac:dyDescent="0.2">
      <c r="B198" s="53" t="s">
        <v>248</v>
      </c>
      <c r="C198" s="42">
        <f>85%*(F16+F21)</f>
        <v>2774400</v>
      </c>
      <c r="D198" s="42"/>
      <c r="E198" s="46">
        <f>(C198*amortyzacja)/12*8</f>
        <v>83232</v>
      </c>
      <c r="F198" s="46">
        <f>C198*amortyzacja</f>
        <v>124848</v>
      </c>
      <c r="G198" s="46">
        <f>F198</f>
        <v>124848</v>
      </c>
      <c r="H198" s="46">
        <f t="shared" ref="H198:Q198" si="23">G198</f>
        <v>124848</v>
      </c>
      <c r="I198" s="46">
        <f t="shared" si="23"/>
        <v>124848</v>
      </c>
      <c r="J198" s="46">
        <f t="shared" si="23"/>
        <v>124848</v>
      </c>
      <c r="K198" s="46">
        <f t="shared" si="23"/>
        <v>124848</v>
      </c>
      <c r="L198" s="46">
        <f t="shared" si="23"/>
        <v>124848</v>
      </c>
      <c r="M198" s="46">
        <f t="shared" si="23"/>
        <v>124848</v>
      </c>
      <c r="N198" s="46">
        <f t="shared" si="23"/>
        <v>124848</v>
      </c>
      <c r="O198" s="46">
        <f t="shared" si="23"/>
        <v>124848</v>
      </c>
      <c r="P198" s="46">
        <f t="shared" si="23"/>
        <v>124848</v>
      </c>
      <c r="Q198" s="46">
        <f t="shared" si="23"/>
        <v>124848</v>
      </c>
    </row>
    <row r="199" spans="1:18" x14ac:dyDescent="0.2">
      <c r="B199" s="53" t="s">
        <v>249</v>
      </c>
      <c r="C199" s="42">
        <f>85%*F26</f>
        <v>680000</v>
      </c>
      <c r="D199" s="42"/>
      <c r="E199" s="46">
        <f>(C199*am_u1)/12*8</f>
        <v>63466.666666666679</v>
      </c>
      <c r="F199" s="46">
        <f>C199*am_u1</f>
        <v>95200.000000000015</v>
      </c>
      <c r="G199" s="46">
        <f t="shared" ref="G199:Q201" si="24">F199</f>
        <v>95200.000000000015</v>
      </c>
      <c r="H199" s="46">
        <f t="shared" si="24"/>
        <v>95200.000000000015</v>
      </c>
      <c r="I199" s="46">
        <f t="shared" si="24"/>
        <v>95200.000000000015</v>
      </c>
      <c r="J199" s="46">
        <f t="shared" si="24"/>
        <v>95200.000000000015</v>
      </c>
      <c r="K199" s="156">
        <f>J199</f>
        <v>95200.000000000015</v>
      </c>
      <c r="L199" s="46">
        <v>45333.33</v>
      </c>
      <c r="M199" s="46"/>
      <c r="N199" s="46"/>
      <c r="O199" s="46"/>
      <c r="P199" s="46"/>
      <c r="Q199" s="46"/>
      <c r="R199" s="4">
        <f>C199-SUM(E199:Q199)</f>
        <v>3.3333332976326346E-3</v>
      </c>
    </row>
    <row r="200" spans="1:18" x14ac:dyDescent="0.2">
      <c r="B200" s="53" t="s">
        <v>250</v>
      </c>
      <c r="C200" s="42">
        <f>85%*F31</f>
        <v>552500</v>
      </c>
      <c r="D200" s="42"/>
      <c r="E200" s="46">
        <f>(C200*am_u2)/12*8</f>
        <v>73666.666666666672</v>
      </c>
      <c r="F200" s="46">
        <f>C200*am_u2</f>
        <v>110500</v>
      </c>
      <c r="G200" s="46">
        <f t="shared" si="24"/>
        <v>110500</v>
      </c>
      <c r="H200" s="46">
        <f t="shared" si="24"/>
        <v>110500</v>
      </c>
      <c r="I200" s="46">
        <f>H200</f>
        <v>110500</v>
      </c>
      <c r="J200" s="46">
        <v>36833.33</v>
      </c>
      <c r="K200" s="46"/>
      <c r="L200" s="46"/>
      <c r="M200" s="46"/>
      <c r="N200" s="46"/>
      <c r="O200" s="46"/>
      <c r="P200" s="46"/>
      <c r="Q200" s="46"/>
      <c r="R200" s="4">
        <f>C200-SUM(E200:Q200)</f>
        <v>3.3333332976326346E-3</v>
      </c>
    </row>
    <row r="201" spans="1:18" x14ac:dyDescent="0.2">
      <c r="B201" s="53" t="s">
        <v>251</v>
      </c>
      <c r="C201" s="42">
        <f>0.85*F36</f>
        <v>1445000</v>
      </c>
      <c r="D201" s="42"/>
      <c r="E201" s="46">
        <f>(C201*am_wnip)/12*8</f>
        <v>317900</v>
      </c>
      <c r="F201" s="46">
        <f>C201*am_wnip</f>
        <v>476850</v>
      </c>
      <c r="G201" s="46">
        <f t="shared" si="24"/>
        <v>476850</v>
      </c>
      <c r="H201" s="46">
        <v>173400</v>
      </c>
      <c r="I201" s="46"/>
      <c r="J201" s="46"/>
      <c r="K201" s="46"/>
      <c r="L201" s="46"/>
      <c r="M201" s="46"/>
      <c r="N201" s="46"/>
      <c r="O201" s="46"/>
      <c r="P201" s="46"/>
      <c r="Q201" s="46"/>
      <c r="R201" s="4">
        <f>C201-SUM(E201:Q201)</f>
        <v>0</v>
      </c>
    </row>
    <row r="202" spans="1:18" x14ac:dyDescent="0.2">
      <c r="B202" s="41" t="s">
        <v>82</v>
      </c>
      <c r="C202" s="42"/>
      <c r="D202" s="42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7"/>
    </row>
    <row r="203" spans="1:18" x14ac:dyDescent="0.2">
      <c r="B203" s="50" t="s">
        <v>83</v>
      </c>
      <c r="C203" s="71"/>
      <c r="D203" s="71"/>
      <c r="E203" s="73">
        <f>SUM(E198:E201)</f>
        <v>538265.33333333337</v>
      </c>
      <c r="F203" s="73">
        <f t="shared" ref="F203:Q203" si="25">SUM(F198:F201)</f>
        <v>807398</v>
      </c>
      <c r="G203" s="73">
        <f t="shared" si="25"/>
        <v>807398</v>
      </c>
      <c r="H203" s="73">
        <f t="shared" si="25"/>
        <v>503948</v>
      </c>
      <c r="I203" s="73">
        <f t="shared" si="25"/>
        <v>330548</v>
      </c>
      <c r="J203" s="73">
        <f t="shared" si="25"/>
        <v>256881.33000000002</v>
      </c>
      <c r="K203" s="73">
        <f t="shared" si="25"/>
        <v>220048</v>
      </c>
      <c r="L203" s="73">
        <f t="shared" si="25"/>
        <v>170181.33000000002</v>
      </c>
      <c r="M203" s="73">
        <f t="shared" si="25"/>
        <v>124848</v>
      </c>
      <c r="N203" s="73">
        <f t="shared" si="25"/>
        <v>124848</v>
      </c>
      <c r="O203" s="73">
        <f t="shared" si="25"/>
        <v>124848</v>
      </c>
      <c r="P203" s="73">
        <f t="shared" si="25"/>
        <v>124848</v>
      </c>
      <c r="Q203" s="73">
        <f t="shared" si="25"/>
        <v>124848</v>
      </c>
    </row>
    <row r="207" spans="1:18" x14ac:dyDescent="0.2">
      <c r="A207" s="6" t="s">
        <v>167</v>
      </c>
      <c r="B207" s="6" t="s">
        <v>90</v>
      </c>
    </row>
    <row r="208" spans="1:18" x14ac:dyDescent="0.2">
      <c r="B208" s="125" t="s">
        <v>13</v>
      </c>
      <c r="C208" s="126">
        <f t="shared" ref="C208:Q208" si="26">C$148</f>
        <v>2017</v>
      </c>
      <c r="D208" s="126">
        <f t="shared" si="26"/>
        <v>2018</v>
      </c>
      <c r="E208" s="126">
        <f t="shared" si="26"/>
        <v>2019</v>
      </c>
      <c r="F208" s="126">
        <f t="shared" si="26"/>
        <v>2020</v>
      </c>
      <c r="G208" s="126">
        <f t="shared" si="26"/>
        <v>2021</v>
      </c>
      <c r="H208" s="126">
        <f t="shared" si="26"/>
        <v>2022</v>
      </c>
      <c r="I208" s="126">
        <f t="shared" si="26"/>
        <v>2023</v>
      </c>
      <c r="J208" s="126">
        <f t="shared" si="26"/>
        <v>2024</v>
      </c>
      <c r="K208" s="126">
        <f t="shared" si="26"/>
        <v>2025</v>
      </c>
      <c r="L208" s="126">
        <f t="shared" si="26"/>
        <v>2026</v>
      </c>
      <c r="M208" s="126">
        <f t="shared" si="26"/>
        <v>2027</v>
      </c>
      <c r="N208" s="126">
        <f t="shared" si="26"/>
        <v>2028</v>
      </c>
      <c r="O208" s="126">
        <f t="shared" si="26"/>
        <v>2029</v>
      </c>
      <c r="P208" s="126">
        <f t="shared" si="26"/>
        <v>2030</v>
      </c>
      <c r="Q208" s="127">
        <f t="shared" si="26"/>
        <v>2031</v>
      </c>
    </row>
    <row r="209" spans="1:17" x14ac:dyDescent="0.2">
      <c r="B209" s="50" t="s">
        <v>89</v>
      </c>
      <c r="C209" s="73"/>
      <c r="D209" s="73"/>
      <c r="E209" s="73">
        <v>50000</v>
      </c>
      <c r="F209" s="73">
        <f t="shared" ref="F209:Q209" si="27">150000</f>
        <v>150000</v>
      </c>
      <c r="G209" s="73">
        <f t="shared" si="27"/>
        <v>150000</v>
      </c>
      <c r="H209" s="73">
        <f t="shared" si="27"/>
        <v>150000</v>
      </c>
      <c r="I209" s="73">
        <f t="shared" si="27"/>
        <v>150000</v>
      </c>
      <c r="J209" s="73">
        <f t="shared" si="27"/>
        <v>150000</v>
      </c>
      <c r="K209" s="73">
        <f t="shared" si="27"/>
        <v>150000</v>
      </c>
      <c r="L209" s="73">
        <f t="shared" si="27"/>
        <v>150000</v>
      </c>
      <c r="M209" s="73">
        <f t="shared" si="27"/>
        <v>150000</v>
      </c>
      <c r="N209" s="73">
        <f t="shared" si="27"/>
        <v>150000</v>
      </c>
      <c r="O209" s="73">
        <f t="shared" si="27"/>
        <v>150000</v>
      </c>
      <c r="P209" s="73">
        <f t="shared" si="27"/>
        <v>150000</v>
      </c>
      <c r="Q209" s="61">
        <f t="shared" si="27"/>
        <v>150000</v>
      </c>
    </row>
    <row r="213" spans="1:17" x14ac:dyDescent="0.2">
      <c r="A213" s="6" t="s">
        <v>168</v>
      </c>
      <c r="B213" s="6" t="s">
        <v>91</v>
      </c>
    </row>
    <row r="214" spans="1:17" x14ac:dyDescent="0.2">
      <c r="B214" s="125" t="s">
        <v>13</v>
      </c>
      <c r="C214" s="126">
        <f t="shared" ref="C214:Q214" si="28">C$148</f>
        <v>2017</v>
      </c>
      <c r="D214" s="126">
        <f t="shared" si="28"/>
        <v>2018</v>
      </c>
      <c r="E214" s="126">
        <f t="shared" si="28"/>
        <v>2019</v>
      </c>
      <c r="F214" s="126">
        <f t="shared" si="28"/>
        <v>2020</v>
      </c>
      <c r="G214" s="126">
        <f t="shared" si="28"/>
        <v>2021</v>
      </c>
      <c r="H214" s="126">
        <f t="shared" si="28"/>
        <v>2022</v>
      </c>
      <c r="I214" s="126">
        <f t="shared" si="28"/>
        <v>2023</v>
      </c>
      <c r="J214" s="126">
        <f t="shared" si="28"/>
        <v>2024</v>
      </c>
      <c r="K214" s="126">
        <f t="shared" si="28"/>
        <v>2025</v>
      </c>
      <c r="L214" s="126">
        <f t="shared" si="28"/>
        <v>2026</v>
      </c>
      <c r="M214" s="126">
        <f t="shared" si="28"/>
        <v>2027</v>
      </c>
      <c r="N214" s="126">
        <f t="shared" si="28"/>
        <v>2028</v>
      </c>
      <c r="O214" s="126">
        <f t="shared" si="28"/>
        <v>2029</v>
      </c>
      <c r="P214" s="126">
        <f t="shared" si="28"/>
        <v>2030</v>
      </c>
      <c r="Q214" s="127">
        <f t="shared" si="28"/>
        <v>2031</v>
      </c>
    </row>
    <row r="215" spans="1:17" x14ac:dyDescent="0.2">
      <c r="B215" s="41" t="s">
        <v>31</v>
      </c>
      <c r="C215" s="42"/>
      <c r="D215" s="42"/>
      <c r="E215" s="42">
        <f>E175+E182+E189+E161+E167</f>
        <v>252913.33000000002</v>
      </c>
      <c r="F215" s="42">
        <f t="shared" ref="F215:Q215" si="29">F175+F182+F189+F161+F167</f>
        <v>379370</v>
      </c>
      <c r="G215" s="42">
        <f t="shared" si="29"/>
        <v>379370</v>
      </c>
      <c r="H215" s="42">
        <f t="shared" si="29"/>
        <v>379370</v>
      </c>
      <c r="I215" s="42">
        <f t="shared" si="29"/>
        <v>379370</v>
      </c>
      <c r="J215" s="42">
        <f t="shared" si="29"/>
        <v>379370</v>
      </c>
      <c r="K215" s="42">
        <f t="shared" si="29"/>
        <v>379814.08250000002</v>
      </c>
      <c r="L215" s="42">
        <f t="shared" si="29"/>
        <v>284480.75249999994</v>
      </c>
      <c r="M215" s="42">
        <f t="shared" si="29"/>
        <v>197814.08249999999</v>
      </c>
      <c r="N215" s="42">
        <f t="shared" si="29"/>
        <v>197814.08249999999</v>
      </c>
      <c r="O215" s="42">
        <f t="shared" si="29"/>
        <v>197814.08249999999</v>
      </c>
      <c r="P215" s="42">
        <f t="shared" si="29"/>
        <v>198258.16500000001</v>
      </c>
      <c r="Q215" s="60">
        <f t="shared" si="29"/>
        <v>198258.16500000001</v>
      </c>
    </row>
    <row r="216" spans="1:17" x14ac:dyDescent="0.2">
      <c r="B216" s="41" t="s">
        <v>32</v>
      </c>
      <c r="C216" s="46"/>
      <c r="D216" s="46"/>
      <c r="E216" s="42">
        <v>20000</v>
      </c>
      <c r="F216" s="42">
        <f>E216</f>
        <v>20000</v>
      </c>
      <c r="G216" s="42">
        <f t="shared" ref="G216:Q216" si="30">F216</f>
        <v>20000</v>
      </c>
      <c r="H216" s="42">
        <f t="shared" si="30"/>
        <v>20000</v>
      </c>
      <c r="I216" s="42">
        <f t="shared" si="30"/>
        <v>20000</v>
      </c>
      <c r="J216" s="42">
        <f t="shared" si="30"/>
        <v>20000</v>
      </c>
      <c r="K216" s="42">
        <f t="shared" si="30"/>
        <v>20000</v>
      </c>
      <c r="L216" s="42">
        <f t="shared" si="30"/>
        <v>20000</v>
      </c>
      <c r="M216" s="42">
        <f t="shared" si="30"/>
        <v>20000</v>
      </c>
      <c r="N216" s="42">
        <f t="shared" si="30"/>
        <v>20000</v>
      </c>
      <c r="O216" s="42">
        <f t="shared" si="30"/>
        <v>20000</v>
      </c>
      <c r="P216" s="42">
        <f t="shared" si="30"/>
        <v>20000</v>
      </c>
      <c r="Q216" s="60">
        <f t="shared" si="30"/>
        <v>20000</v>
      </c>
    </row>
    <row r="217" spans="1:17" x14ac:dyDescent="0.2">
      <c r="B217" s="41" t="s">
        <v>33</v>
      </c>
      <c r="C217" s="46"/>
      <c r="D217" s="46"/>
      <c r="E217" s="42">
        <v>15000</v>
      </c>
      <c r="F217" s="42">
        <f t="shared" ref="F217:Q221" si="31">E217</f>
        <v>15000</v>
      </c>
      <c r="G217" s="42">
        <f t="shared" ref="G217:Q217" si="32">F217</f>
        <v>15000</v>
      </c>
      <c r="H217" s="42">
        <f t="shared" si="32"/>
        <v>15000</v>
      </c>
      <c r="I217" s="42">
        <f t="shared" si="32"/>
        <v>15000</v>
      </c>
      <c r="J217" s="42">
        <f t="shared" si="32"/>
        <v>15000</v>
      </c>
      <c r="K217" s="42">
        <f t="shared" si="32"/>
        <v>15000</v>
      </c>
      <c r="L217" s="42">
        <f t="shared" si="32"/>
        <v>15000</v>
      </c>
      <c r="M217" s="42">
        <f t="shared" si="32"/>
        <v>15000</v>
      </c>
      <c r="N217" s="42">
        <f t="shared" si="32"/>
        <v>15000</v>
      </c>
      <c r="O217" s="42">
        <f t="shared" si="32"/>
        <v>15000</v>
      </c>
      <c r="P217" s="42">
        <f t="shared" si="32"/>
        <v>15000</v>
      </c>
      <c r="Q217" s="60">
        <f t="shared" si="32"/>
        <v>15000</v>
      </c>
    </row>
    <row r="218" spans="1:17" x14ac:dyDescent="0.2">
      <c r="B218" s="41" t="s">
        <v>34</v>
      </c>
      <c r="C218" s="46"/>
      <c r="D218" s="46"/>
      <c r="E218" s="42">
        <v>5000</v>
      </c>
      <c r="F218" s="42">
        <f t="shared" si="31"/>
        <v>5000</v>
      </c>
      <c r="G218" s="42">
        <f t="shared" ref="G218:Q218" si="33">F218</f>
        <v>5000</v>
      </c>
      <c r="H218" s="42">
        <f t="shared" si="33"/>
        <v>5000</v>
      </c>
      <c r="I218" s="42">
        <f t="shared" si="33"/>
        <v>5000</v>
      </c>
      <c r="J218" s="42">
        <f t="shared" si="33"/>
        <v>5000</v>
      </c>
      <c r="K218" s="42">
        <f t="shared" si="33"/>
        <v>5000</v>
      </c>
      <c r="L218" s="42">
        <f t="shared" si="33"/>
        <v>5000</v>
      </c>
      <c r="M218" s="42">
        <f t="shared" si="33"/>
        <v>5000</v>
      </c>
      <c r="N218" s="42">
        <f t="shared" si="33"/>
        <v>5000</v>
      </c>
      <c r="O218" s="42">
        <f t="shared" si="33"/>
        <v>5000</v>
      </c>
      <c r="P218" s="42">
        <f t="shared" si="33"/>
        <v>5000</v>
      </c>
      <c r="Q218" s="60">
        <f t="shared" si="33"/>
        <v>5000</v>
      </c>
    </row>
    <row r="219" spans="1:17" x14ac:dyDescent="0.2">
      <c r="B219" s="41" t="s">
        <v>35</v>
      </c>
      <c r="C219" s="46"/>
      <c r="D219" s="46"/>
      <c r="E219" s="42">
        <v>150000</v>
      </c>
      <c r="F219" s="42">
        <f t="shared" si="31"/>
        <v>150000</v>
      </c>
      <c r="G219" s="42">
        <f t="shared" ref="G219:Q219" si="34">F219</f>
        <v>150000</v>
      </c>
      <c r="H219" s="42">
        <f t="shared" si="34"/>
        <v>150000</v>
      </c>
      <c r="I219" s="42">
        <f t="shared" si="34"/>
        <v>150000</v>
      </c>
      <c r="J219" s="42">
        <f t="shared" si="34"/>
        <v>150000</v>
      </c>
      <c r="K219" s="42">
        <f t="shared" si="34"/>
        <v>150000</v>
      </c>
      <c r="L219" s="42">
        <f t="shared" si="34"/>
        <v>150000</v>
      </c>
      <c r="M219" s="42">
        <f t="shared" si="34"/>
        <v>150000</v>
      </c>
      <c r="N219" s="42">
        <f t="shared" si="34"/>
        <v>150000</v>
      </c>
      <c r="O219" s="42">
        <f t="shared" si="34"/>
        <v>150000</v>
      </c>
      <c r="P219" s="42">
        <f t="shared" si="34"/>
        <v>150000</v>
      </c>
      <c r="Q219" s="60">
        <f t="shared" si="34"/>
        <v>150000</v>
      </c>
    </row>
    <row r="220" spans="1:17" x14ac:dyDescent="0.2">
      <c r="B220" s="41" t="s">
        <v>36</v>
      </c>
      <c r="C220" s="46"/>
      <c r="D220" s="46"/>
      <c r="E220" s="42">
        <f>21%*E219</f>
        <v>31500</v>
      </c>
      <c r="F220" s="42">
        <f t="shared" si="31"/>
        <v>31500</v>
      </c>
      <c r="G220" s="42">
        <f t="shared" ref="G220:Q220" si="35">F220</f>
        <v>31500</v>
      </c>
      <c r="H220" s="42">
        <f t="shared" si="35"/>
        <v>31500</v>
      </c>
      <c r="I220" s="42">
        <f t="shared" si="35"/>
        <v>31500</v>
      </c>
      <c r="J220" s="42">
        <f t="shared" si="35"/>
        <v>31500</v>
      </c>
      <c r="K220" s="42">
        <f t="shared" si="35"/>
        <v>31500</v>
      </c>
      <c r="L220" s="42">
        <f t="shared" si="35"/>
        <v>31500</v>
      </c>
      <c r="M220" s="42">
        <f t="shared" si="35"/>
        <v>31500</v>
      </c>
      <c r="N220" s="42">
        <f t="shared" si="35"/>
        <v>31500</v>
      </c>
      <c r="O220" s="42">
        <f t="shared" si="35"/>
        <v>31500</v>
      </c>
      <c r="P220" s="42">
        <f t="shared" si="35"/>
        <v>31500</v>
      </c>
      <c r="Q220" s="60">
        <f t="shared" si="35"/>
        <v>31500</v>
      </c>
    </row>
    <row r="221" spans="1:17" x14ac:dyDescent="0.2">
      <c r="B221" s="41" t="s">
        <v>37</v>
      </c>
      <c r="C221" s="46"/>
      <c r="D221" s="46"/>
      <c r="E221" s="42">
        <v>500</v>
      </c>
      <c r="F221" s="42">
        <f t="shared" si="31"/>
        <v>500</v>
      </c>
      <c r="G221" s="42">
        <f t="shared" ref="G221:Q221" si="36">F221</f>
        <v>500</v>
      </c>
      <c r="H221" s="42">
        <f t="shared" si="36"/>
        <v>500</v>
      </c>
      <c r="I221" s="42">
        <f t="shared" si="36"/>
        <v>500</v>
      </c>
      <c r="J221" s="42">
        <f t="shared" si="36"/>
        <v>500</v>
      </c>
      <c r="K221" s="42">
        <f t="shared" si="36"/>
        <v>500</v>
      </c>
      <c r="L221" s="42">
        <f t="shared" si="36"/>
        <v>500</v>
      </c>
      <c r="M221" s="42">
        <f t="shared" si="36"/>
        <v>500</v>
      </c>
      <c r="N221" s="42">
        <f t="shared" si="36"/>
        <v>500</v>
      </c>
      <c r="O221" s="42">
        <f t="shared" si="36"/>
        <v>500</v>
      </c>
      <c r="P221" s="42">
        <f t="shared" si="36"/>
        <v>500</v>
      </c>
      <c r="Q221" s="60">
        <f t="shared" si="36"/>
        <v>500</v>
      </c>
    </row>
    <row r="222" spans="1:17" x14ac:dyDescent="0.2">
      <c r="B222" s="41" t="s">
        <v>38</v>
      </c>
      <c r="C222" s="46"/>
      <c r="D222" s="46"/>
      <c r="E222" s="42">
        <f>0</f>
        <v>0</v>
      </c>
      <c r="F222" s="42">
        <f>0</f>
        <v>0</v>
      </c>
      <c r="G222" s="42">
        <f>0</f>
        <v>0</v>
      </c>
      <c r="H222" s="42">
        <f>0</f>
        <v>0</v>
      </c>
      <c r="I222" s="42">
        <f>0</f>
        <v>0</v>
      </c>
      <c r="J222" s="42">
        <f>0</f>
        <v>0</v>
      </c>
      <c r="K222" s="42">
        <f>0</f>
        <v>0</v>
      </c>
      <c r="L222" s="42">
        <f>0</f>
        <v>0</v>
      </c>
      <c r="M222" s="42">
        <f>0</f>
        <v>0</v>
      </c>
      <c r="N222" s="42">
        <f>0</f>
        <v>0</v>
      </c>
      <c r="O222" s="42">
        <f>0</f>
        <v>0</v>
      </c>
      <c r="P222" s="42">
        <f>0</f>
        <v>0</v>
      </c>
      <c r="Q222" s="60">
        <f>0</f>
        <v>0</v>
      </c>
    </row>
    <row r="223" spans="1:17" x14ac:dyDescent="0.2">
      <c r="B223" s="94" t="s">
        <v>92</v>
      </c>
      <c r="C223" s="73">
        <f>C484+C485</f>
        <v>65000</v>
      </c>
      <c r="D223" s="73">
        <f t="shared" ref="D223:Q223" si="37">D484+D485</f>
        <v>55000</v>
      </c>
      <c r="E223" s="73">
        <f t="shared" si="37"/>
        <v>127500</v>
      </c>
      <c r="F223" s="73">
        <f t="shared" si="37"/>
        <v>150000</v>
      </c>
      <c r="G223" s="73">
        <f t="shared" si="37"/>
        <v>150000</v>
      </c>
      <c r="H223" s="73">
        <f t="shared" si="37"/>
        <v>142500</v>
      </c>
      <c r="I223" s="73">
        <f t="shared" si="37"/>
        <v>127500</v>
      </c>
      <c r="J223" s="73">
        <f t="shared" si="37"/>
        <v>112500</v>
      </c>
      <c r="K223" s="73">
        <f t="shared" si="37"/>
        <v>97500</v>
      </c>
      <c r="L223" s="73">
        <f t="shared" si="37"/>
        <v>82500</v>
      </c>
      <c r="M223" s="73">
        <f t="shared" si="37"/>
        <v>67500</v>
      </c>
      <c r="N223" s="73">
        <f t="shared" si="37"/>
        <v>52500</v>
      </c>
      <c r="O223" s="73">
        <f t="shared" si="37"/>
        <v>37500</v>
      </c>
      <c r="P223" s="73">
        <f t="shared" si="37"/>
        <v>22500</v>
      </c>
      <c r="Q223" s="73">
        <f t="shared" si="37"/>
        <v>7500</v>
      </c>
    </row>
    <row r="227" spans="1:17" x14ac:dyDescent="0.2">
      <c r="A227" s="6" t="s">
        <v>169</v>
      </c>
      <c r="B227" s="6" t="s">
        <v>88</v>
      </c>
    </row>
    <row r="228" spans="1:17" x14ac:dyDescent="0.2">
      <c r="B228" s="9" t="s">
        <v>56</v>
      </c>
      <c r="C228" s="126">
        <f t="shared" ref="C228:Q228" si="38">C$148</f>
        <v>2017</v>
      </c>
      <c r="D228" s="126">
        <f t="shared" si="38"/>
        <v>2018</v>
      </c>
      <c r="E228" s="126">
        <f t="shared" si="38"/>
        <v>2019</v>
      </c>
      <c r="F228" s="126">
        <f t="shared" si="38"/>
        <v>2020</v>
      </c>
      <c r="G228" s="126">
        <f t="shared" si="38"/>
        <v>2021</v>
      </c>
      <c r="H228" s="126">
        <f t="shared" si="38"/>
        <v>2022</v>
      </c>
      <c r="I228" s="126">
        <f t="shared" si="38"/>
        <v>2023</v>
      </c>
      <c r="J228" s="126">
        <f t="shared" si="38"/>
        <v>2024</v>
      </c>
      <c r="K228" s="126">
        <f t="shared" si="38"/>
        <v>2025</v>
      </c>
      <c r="L228" s="126">
        <f t="shared" si="38"/>
        <v>2026</v>
      </c>
      <c r="M228" s="126">
        <f t="shared" si="38"/>
        <v>2027</v>
      </c>
      <c r="N228" s="126">
        <f t="shared" si="38"/>
        <v>2028</v>
      </c>
      <c r="O228" s="126">
        <f t="shared" si="38"/>
        <v>2029</v>
      </c>
      <c r="P228" s="126">
        <f t="shared" si="38"/>
        <v>2030</v>
      </c>
      <c r="Q228" s="127">
        <f t="shared" si="38"/>
        <v>2031</v>
      </c>
    </row>
    <row r="229" spans="1:17" x14ac:dyDescent="0.2">
      <c r="B229" s="62" t="s">
        <v>29</v>
      </c>
      <c r="C229" s="45">
        <f>D93</f>
        <v>1863091.55</v>
      </c>
      <c r="D229" s="45">
        <f>C229</f>
        <v>1863091.55</v>
      </c>
      <c r="E229" s="45">
        <f t="shared" ref="E229:Q244" si="39">D229</f>
        <v>1863091.55</v>
      </c>
      <c r="F229" s="45">
        <f t="shared" si="39"/>
        <v>1863091.55</v>
      </c>
      <c r="G229" s="45">
        <f t="shared" si="39"/>
        <v>1863091.55</v>
      </c>
      <c r="H229" s="45">
        <f t="shared" si="39"/>
        <v>1863091.55</v>
      </c>
      <c r="I229" s="45">
        <f t="shared" si="39"/>
        <v>1863091.55</v>
      </c>
      <c r="J229" s="45">
        <f t="shared" si="39"/>
        <v>1863091.55</v>
      </c>
      <c r="K229" s="45">
        <f t="shared" si="39"/>
        <v>1863091.55</v>
      </c>
      <c r="L229" s="45">
        <f t="shared" si="39"/>
        <v>1863091.55</v>
      </c>
      <c r="M229" s="45">
        <f t="shared" si="39"/>
        <v>1863091.55</v>
      </c>
      <c r="N229" s="45">
        <f t="shared" si="39"/>
        <v>1863091.55</v>
      </c>
      <c r="O229" s="45">
        <f t="shared" si="39"/>
        <v>1863091.55</v>
      </c>
      <c r="P229" s="45">
        <f t="shared" si="39"/>
        <v>1863091.55</v>
      </c>
      <c r="Q229" s="43">
        <f t="shared" si="39"/>
        <v>1863091.55</v>
      </c>
    </row>
    <row r="230" spans="1:17" x14ac:dyDescent="0.2">
      <c r="B230" s="62" t="s">
        <v>30</v>
      </c>
      <c r="C230" s="7">
        <f>D94</f>
        <v>1859636.8399999999</v>
      </c>
      <c r="D230" s="7">
        <f t="shared" ref="D230:Q253" si="40">C230</f>
        <v>1859636.8399999999</v>
      </c>
      <c r="E230" s="7">
        <f t="shared" si="39"/>
        <v>1859636.8399999999</v>
      </c>
      <c r="F230" s="7">
        <f t="shared" si="39"/>
        <v>1859636.8399999999</v>
      </c>
      <c r="G230" s="7">
        <f t="shared" si="39"/>
        <v>1859636.8399999999</v>
      </c>
      <c r="H230" s="7">
        <f t="shared" si="39"/>
        <v>1859636.8399999999</v>
      </c>
      <c r="I230" s="7">
        <f t="shared" si="39"/>
        <v>1859636.8399999999</v>
      </c>
      <c r="J230" s="7">
        <f t="shared" si="39"/>
        <v>1859636.8399999999</v>
      </c>
      <c r="K230" s="7">
        <f t="shared" si="39"/>
        <v>1859636.8399999999</v>
      </c>
      <c r="L230" s="7">
        <f t="shared" si="39"/>
        <v>1859636.8399999999</v>
      </c>
      <c r="M230" s="7">
        <f t="shared" si="39"/>
        <v>1859636.8399999999</v>
      </c>
      <c r="N230" s="7">
        <f t="shared" si="39"/>
        <v>1859636.8399999999</v>
      </c>
      <c r="O230" s="7">
        <f t="shared" si="39"/>
        <v>1859636.8399999999</v>
      </c>
      <c r="P230" s="7">
        <f t="shared" si="39"/>
        <v>1859636.8399999999</v>
      </c>
      <c r="Q230" s="64">
        <f t="shared" si="39"/>
        <v>1859636.8399999999</v>
      </c>
    </row>
    <row r="231" spans="1:17" x14ac:dyDescent="0.2">
      <c r="B231" s="65" t="s">
        <v>31</v>
      </c>
      <c r="C231" s="8">
        <f>D95</f>
        <v>206573.28</v>
      </c>
      <c r="D231" s="8">
        <f t="shared" si="40"/>
        <v>206573.28</v>
      </c>
      <c r="E231" s="8">
        <f t="shared" si="39"/>
        <v>206573.28</v>
      </c>
      <c r="F231" s="8">
        <f t="shared" si="39"/>
        <v>206573.28</v>
      </c>
      <c r="G231" s="8">
        <f t="shared" si="39"/>
        <v>206573.28</v>
      </c>
      <c r="H231" s="8">
        <f t="shared" si="39"/>
        <v>206573.28</v>
      </c>
      <c r="I231" s="8">
        <f t="shared" si="39"/>
        <v>206573.28</v>
      </c>
      <c r="J231" s="8">
        <f t="shared" si="39"/>
        <v>206573.28</v>
      </c>
      <c r="K231" s="8">
        <f t="shared" si="39"/>
        <v>206573.28</v>
      </c>
      <c r="L231" s="8">
        <f t="shared" si="39"/>
        <v>206573.28</v>
      </c>
      <c r="M231" s="8">
        <f t="shared" si="39"/>
        <v>206573.28</v>
      </c>
      <c r="N231" s="8">
        <f t="shared" si="39"/>
        <v>206573.28</v>
      </c>
      <c r="O231" s="8">
        <f t="shared" si="39"/>
        <v>206573.28</v>
      </c>
      <c r="P231" s="8">
        <f t="shared" si="39"/>
        <v>206573.28</v>
      </c>
      <c r="Q231" s="66">
        <f t="shared" si="39"/>
        <v>206573.28</v>
      </c>
    </row>
    <row r="232" spans="1:17" x14ac:dyDescent="0.2">
      <c r="B232" s="65" t="s">
        <v>32</v>
      </c>
      <c r="C232" s="8">
        <f>D96</f>
        <v>155477.94</v>
      </c>
      <c r="D232" s="8">
        <f t="shared" si="40"/>
        <v>155477.94</v>
      </c>
      <c r="E232" s="8">
        <f t="shared" si="39"/>
        <v>155477.94</v>
      </c>
      <c r="F232" s="8">
        <f t="shared" si="39"/>
        <v>155477.94</v>
      </c>
      <c r="G232" s="8">
        <f t="shared" si="39"/>
        <v>155477.94</v>
      </c>
      <c r="H232" s="8">
        <f t="shared" si="39"/>
        <v>155477.94</v>
      </c>
      <c r="I232" s="8">
        <f t="shared" si="39"/>
        <v>155477.94</v>
      </c>
      <c r="J232" s="8">
        <f t="shared" si="39"/>
        <v>155477.94</v>
      </c>
      <c r="K232" s="8">
        <f t="shared" si="39"/>
        <v>155477.94</v>
      </c>
      <c r="L232" s="8">
        <f t="shared" si="39"/>
        <v>155477.94</v>
      </c>
      <c r="M232" s="8">
        <f t="shared" si="39"/>
        <v>155477.94</v>
      </c>
      <c r="N232" s="8">
        <f t="shared" si="39"/>
        <v>155477.94</v>
      </c>
      <c r="O232" s="8">
        <f t="shared" si="39"/>
        <v>155477.94</v>
      </c>
      <c r="P232" s="8">
        <f t="shared" si="39"/>
        <v>155477.94</v>
      </c>
      <c r="Q232" s="66">
        <f t="shared" si="39"/>
        <v>155477.94</v>
      </c>
    </row>
    <row r="233" spans="1:17" x14ac:dyDescent="0.2">
      <c r="B233" s="65" t="s">
        <v>33</v>
      </c>
      <c r="C233" s="8">
        <f>D97</f>
        <v>160045.78</v>
      </c>
      <c r="D233" s="8">
        <f t="shared" si="40"/>
        <v>160045.78</v>
      </c>
      <c r="E233" s="8">
        <f t="shared" si="39"/>
        <v>160045.78</v>
      </c>
      <c r="F233" s="8">
        <f t="shared" si="39"/>
        <v>160045.78</v>
      </c>
      <c r="G233" s="8">
        <f t="shared" si="39"/>
        <v>160045.78</v>
      </c>
      <c r="H233" s="8">
        <f t="shared" si="39"/>
        <v>160045.78</v>
      </c>
      <c r="I233" s="8">
        <f t="shared" si="39"/>
        <v>160045.78</v>
      </c>
      <c r="J233" s="8">
        <f t="shared" si="39"/>
        <v>160045.78</v>
      </c>
      <c r="K233" s="8">
        <f t="shared" si="39"/>
        <v>160045.78</v>
      </c>
      <c r="L233" s="8">
        <f t="shared" si="39"/>
        <v>160045.78</v>
      </c>
      <c r="M233" s="8">
        <f t="shared" si="39"/>
        <v>160045.78</v>
      </c>
      <c r="N233" s="8">
        <f t="shared" si="39"/>
        <v>160045.78</v>
      </c>
      <c r="O233" s="8">
        <f t="shared" si="39"/>
        <v>160045.78</v>
      </c>
      <c r="P233" s="8">
        <f t="shared" si="39"/>
        <v>160045.78</v>
      </c>
      <c r="Q233" s="66">
        <f t="shared" si="39"/>
        <v>160045.78</v>
      </c>
    </row>
    <row r="234" spans="1:17" x14ac:dyDescent="0.2">
      <c r="B234" s="65" t="s">
        <v>34</v>
      </c>
      <c r="C234" s="8">
        <f>D98</f>
        <v>81316.710000000006</v>
      </c>
      <c r="D234" s="8">
        <f t="shared" si="40"/>
        <v>81316.710000000006</v>
      </c>
      <c r="E234" s="8">
        <f t="shared" si="39"/>
        <v>81316.710000000006</v>
      </c>
      <c r="F234" s="8">
        <f t="shared" si="39"/>
        <v>81316.710000000006</v>
      </c>
      <c r="G234" s="8">
        <f t="shared" si="39"/>
        <v>81316.710000000006</v>
      </c>
      <c r="H234" s="8">
        <f t="shared" si="39"/>
        <v>81316.710000000006</v>
      </c>
      <c r="I234" s="8">
        <f t="shared" si="39"/>
        <v>81316.710000000006</v>
      </c>
      <c r="J234" s="8">
        <f t="shared" si="39"/>
        <v>81316.710000000006</v>
      </c>
      <c r="K234" s="8">
        <f t="shared" si="39"/>
        <v>81316.710000000006</v>
      </c>
      <c r="L234" s="8">
        <f t="shared" si="39"/>
        <v>81316.710000000006</v>
      </c>
      <c r="M234" s="8">
        <f t="shared" si="39"/>
        <v>81316.710000000006</v>
      </c>
      <c r="N234" s="8">
        <f t="shared" si="39"/>
        <v>81316.710000000006</v>
      </c>
      <c r="O234" s="8">
        <f t="shared" si="39"/>
        <v>81316.710000000006</v>
      </c>
      <c r="P234" s="8">
        <f t="shared" si="39"/>
        <v>81316.710000000006</v>
      </c>
      <c r="Q234" s="66">
        <f t="shared" si="39"/>
        <v>81316.710000000006</v>
      </c>
    </row>
    <row r="235" spans="1:17" x14ac:dyDescent="0.2">
      <c r="B235" s="65" t="s">
        <v>35</v>
      </c>
      <c r="C235" s="8">
        <f>D99</f>
        <v>701979.13</v>
      </c>
      <c r="D235" s="8">
        <f t="shared" si="40"/>
        <v>701979.13</v>
      </c>
      <c r="E235" s="8">
        <f t="shared" si="39"/>
        <v>701979.13</v>
      </c>
      <c r="F235" s="8">
        <f t="shared" si="39"/>
        <v>701979.13</v>
      </c>
      <c r="G235" s="8">
        <f t="shared" si="39"/>
        <v>701979.13</v>
      </c>
      <c r="H235" s="8">
        <f t="shared" si="39"/>
        <v>701979.13</v>
      </c>
      <c r="I235" s="8">
        <f t="shared" si="39"/>
        <v>701979.13</v>
      </c>
      <c r="J235" s="8">
        <f t="shared" si="39"/>
        <v>701979.13</v>
      </c>
      <c r="K235" s="8">
        <f t="shared" si="39"/>
        <v>701979.13</v>
      </c>
      <c r="L235" s="8">
        <f t="shared" si="39"/>
        <v>701979.13</v>
      </c>
      <c r="M235" s="8">
        <f t="shared" si="39"/>
        <v>701979.13</v>
      </c>
      <c r="N235" s="8">
        <f t="shared" si="39"/>
        <v>701979.13</v>
      </c>
      <c r="O235" s="8">
        <f t="shared" si="39"/>
        <v>701979.13</v>
      </c>
      <c r="P235" s="8">
        <f t="shared" si="39"/>
        <v>701979.13</v>
      </c>
      <c r="Q235" s="66">
        <f t="shared" si="39"/>
        <v>701979.13</v>
      </c>
    </row>
    <row r="236" spans="1:17" x14ac:dyDescent="0.2">
      <c r="B236" s="65" t="s">
        <v>36</v>
      </c>
      <c r="C236" s="8">
        <f>D100</f>
        <v>192218.56</v>
      </c>
      <c r="D236" s="8">
        <f t="shared" si="40"/>
        <v>192218.56</v>
      </c>
      <c r="E236" s="8">
        <f t="shared" si="39"/>
        <v>192218.56</v>
      </c>
      <c r="F236" s="8">
        <f t="shared" si="39"/>
        <v>192218.56</v>
      </c>
      <c r="G236" s="8">
        <f t="shared" si="39"/>
        <v>192218.56</v>
      </c>
      <c r="H236" s="8">
        <f t="shared" si="39"/>
        <v>192218.56</v>
      </c>
      <c r="I236" s="8">
        <f t="shared" si="39"/>
        <v>192218.56</v>
      </c>
      <c r="J236" s="8">
        <f t="shared" si="39"/>
        <v>192218.56</v>
      </c>
      <c r="K236" s="8">
        <f t="shared" si="39"/>
        <v>192218.56</v>
      </c>
      <c r="L236" s="8">
        <f t="shared" si="39"/>
        <v>192218.56</v>
      </c>
      <c r="M236" s="8">
        <f t="shared" si="39"/>
        <v>192218.56</v>
      </c>
      <c r="N236" s="8">
        <f t="shared" si="39"/>
        <v>192218.56</v>
      </c>
      <c r="O236" s="8">
        <f t="shared" si="39"/>
        <v>192218.56</v>
      </c>
      <c r="P236" s="8">
        <f t="shared" si="39"/>
        <v>192218.56</v>
      </c>
      <c r="Q236" s="66">
        <f t="shared" si="39"/>
        <v>192218.56</v>
      </c>
    </row>
    <row r="237" spans="1:17" x14ac:dyDescent="0.2">
      <c r="B237" s="65" t="s">
        <v>37</v>
      </c>
      <c r="C237" s="8">
        <f>D101</f>
        <v>78350.13</v>
      </c>
      <c r="D237" s="8">
        <f t="shared" si="40"/>
        <v>78350.13</v>
      </c>
      <c r="E237" s="8">
        <f t="shared" si="39"/>
        <v>78350.13</v>
      </c>
      <c r="F237" s="8">
        <f t="shared" si="39"/>
        <v>78350.13</v>
      </c>
      <c r="G237" s="8">
        <f t="shared" si="39"/>
        <v>78350.13</v>
      </c>
      <c r="H237" s="8">
        <f t="shared" si="39"/>
        <v>78350.13</v>
      </c>
      <c r="I237" s="8">
        <f t="shared" si="39"/>
        <v>78350.13</v>
      </c>
      <c r="J237" s="8">
        <f t="shared" si="39"/>
        <v>78350.13</v>
      </c>
      <c r="K237" s="8">
        <f t="shared" si="39"/>
        <v>78350.13</v>
      </c>
      <c r="L237" s="8">
        <f t="shared" si="39"/>
        <v>78350.13</v>
      </c>
      <c r="M237" s="8">
        <f t="shared" si="39"/>
        <v>78350.13</v>
      </c>
      <c r="N237" s="8">
        <f t="shared" si="39"/>
        <v>78350.13</v>
      </c>
      <c r="O237" s="8">
        <f t="shared" si="39"/>
        <v>78350.13</v>
      </c>
      <c r="P237" s="8">
        <f t="shared" si="39"/>
        <v>78350.13</v>
      </c>
      <c r="Q237" s="66">
        <f t="shared" si="39"/>
        <v>78350.13</v>
      </c>
    </row>
    <row r="238" spans="1:17" x14ac:dyDescent="0.2">
      <c r="B238" s="65" t="s">
        <v>38</v>
      </c>
      <c r="C238" s="8">
        <f>D102</f>
        <v>283675.31</v>
      </c>
      <c r="D238" s="8">
        <f t="shared" si="40"/>
        <v>283675.31</v>
      </c>
      <c r="E238" s="8">
        <f t="shared" si="39"/>
        <v>283675.31</v>
      </c>
      <c r="F238" s="8">
        <f t="shared" si="39"/>
        <v>283675.31</v>
      </c>
      <c r="G238" s="8">
        <f t="shared" si="39"/>
        <v>283675.31</v>
      </c>
      <c r="H238" s="8">
        <f t="shared" si="39"/>
        <v>283675.31</v>
      </c>
      <c r="I238" s="8">
        <f t="shared" si="39"/>
        <v>283675.31</v>
      </c>
      <c r="J238" s="8">
        <f t="shared" si="39"/>
        <v>283675.31</v>
      </c>
      <c r="K238" s="8">
        <f t="shared" si="39"/>
        <v>283675.31</v>
      </c>
      <c r="L238" s="8">
        <f t="shared" si="39"/>
        <v>283675.31</v>
      </c>
      <c r="M238" s="8">
        <f t="shared" si="39"/>
        <v>283675.31</v>
      </c>
      <c r="N238" s="8">
        <f t="shared" si="39"/>
        <v>283675.31</v>
      </c>
      <c r="O238" s="8">
        <f t="shared" si="39"/>
        <v>283675.31</v>
      </c>
      <c r="P238" s="8">
        <f t="shared" si="39"/>
        <v>283675.31</v>
      </c>
      <c r="Q238" s="66">
        <f t="shared" si="39"/>
        <v>283675.31</v>
      </c>
    </row>
    <row r="239" spans="1:17" x14ac:dyDescent="0.2">
      <c r="B239" s="62" t="s">
        <v>39</v>
      </c>
      <c r="C239" s="7">
        <f>D103</f>
        <v>3454.7100000001956</v>
      </c>
      <c r="D239" s="7">
        <f t="shared" si="40"/>
        <v>3454.7100000001956</v>
      </c>
      <c r="E239" s="7">
        <f t="shared" si="39"/>
        <v>3454.7100000001956</v>
      </c>
      <c r="F239" s="7">
        <f t="shared" si="39"/>
        <v>3454.7100000001956</v>
      </c>
      <c r="G239" s="7">
        <f t="shared" si="39"/>
        <v>3454.7100000001956</v>
      </c>
      <c r="H239" s="7">
        <f t="shared" si="39"/>
        <v>3454.7100000001956</v>
      </c>
      <c r="I239" s="7">
        <f t="shared" si="39"/>
        <v>3454.7100000001956</v>
      </c>
      <c r="J239" s="7">
        <f t="shared" si="39"/>
        <v>3454.7100000001956</v>
      </c>
      <c r="K239" s="7">
        <f t="shared" si="39"/>
        <v>3454.7100000001956</v>
      </c>
      <c r="L239" s="7">
        <f t="shared" si="39"/>
        <v>3454.7100000001956</v>
      </c>
      <c r="M239" s="7">
        <f t="shared" si="39"/>
        <v>3454.7100000001956</v>
      </c>
      <c r="N239" s="7">
        <f t="shared" si="39"/>
        <v>3454.7100000001956</v>
      </c>
      <c r="O239" s="7">
        <f t="shared" si="39"/>
        <v>3454.7100000001956</v>
      </c>
      <c r="P239" s="7">
        <f t="shared" si="39"/>
        <v>3454.7100000001956</v>
      </c>
      <c r="Q239" s="64">
        <f t="shared" si="39"/>
        <v>3454.7100000001956</v>
      </c>
    </row>
    <row r="240" spans="1:17" x14ac:dyDescent="0.2">
      <c r="B240" s="62" t="s">
        <v>40</v>
      </c>
      <c r="C240" s="7">
        <f>D104</f>
        <v>22058.99</v>
      </c>
      <c r="D240" s="7">
        <f t="shared" si="40"/>
        <v>22058.99</v>
      </c>
      <c r="E240" s="7">
        <f t="shared" si="39"/>
        <v>22058.99</v>
      </c>
      <c r="F240" s="7">
        <f t="shared" si="39"/>
        <v>22058.99</v>
      </c>
      <c r="G240" s="7">
        <f t="shared" si="39"/>
        <v>22058.99</v>
      </c>
      <c r="H240" s="7">
        <f t="shared" si="39"/>
        <v>22058.99</v>
      </c>
      <c r="I240" s="7">
        <f t="shared" si="39"/>
        <v>22058.99</v>
      </c>
      <c r="J240" s="7">
        <f t="shared" si="39"/>
        <v>22058.99</v>
      </c>
      <c r="K240" s="7">
        <f t="shared" si="39"/>
        <v>22058.99</v>
      </c>
      <c r="L240" s="7">
        <f t="shared" si="39"/>
        <v>22058.99</v>
      </c>
      <c r="M240" s="7">
        <f t="shared" si="39"/>
        <v>22058.99</v>
      </c>
      <c r="N240" s="7">
        <f t="shared" si="39"/>
        <v>22058.99</v>
      </c>
      <c r="O240" s="7">
        <f t="shared" si="39"/>
        <v>22058.99</v>
      </c>
      <c r="P240" s="7">
        <f t="shared" si="39"/>
        <v>22058.99</v>
      </c>
      <c r="Q240" s="64">
        <f t="shared" si="39"/>
        <v>22058.99</v>
      </c>
    </row>
    <row r="241" spans="2:17" x14ac:dyDescent="0.2">
      <c r="B241" s="65" t="s">
        <v>41</v>
      </c>
      <c r="C241" s="8">
        <f>D105</f>
        <v>0</v>
      </c>
      <c r="D241" s="8">
        <f t="shared" si="40"/>
        <v>0</v>
      </c>
      <c r="E241" s="8">
        <f t="shared" si="39"/>
        <v>0</v>
      </c>
      <c r="F241" s="8">
        <f t="shared" si="39"/>
        <v>0</v>
      </c>
      <c r="G241" s="8">
        <f t="shared" si="39"/>
        <v>0</v>
      </c>
      <c r="H241" s="8">
        <f t="shared" si="39"/>
        <v>0</v>
      </c>
      <c r="I241" s="8">
        <f t="shared" si="39"/>
        <v>0</v>
      </c>
      <c r="J241" s="8">
        <f t="shared" si="39"/>
        <v>0</v>
      </c>
      <c r="K241" s="8">
        <f t="shared" si="39"/>
        <v>0</v>
      </c>
      <c r="L241" s="8">
        <f t="shared" si="39"/>
        <v>0</v>
      </c>
      <c r="M241" s="8">
        <f t="shared" si="39"/>
        <v>0</v>
      </c>
      <c r="N241" s="8">
        <f t="shared" si="39"/>
        <v>0</v>
      </c>
      <c r="O241" s="8">
        <f t="shared" si="39"/>
        <v>0</v>
      </c>
      <c r="P241" s="8">
        <f t="shared" si="39"/>
        <v>0</v>
      </c>
      <c r="Q241" s="66">
        <f t="shared" si="39"/>
        <v>0</v>
      </c>
    </row>
    <row r="242" spans="2:17" x14ac:dyDescent="0.2">
      <c r="B242" s="65" t="s">
        <v>42</v>
      </c>
      <c r="C242" s="8">
        <f>D106</f>
        <v>0</v>
      </c>
      <c r="D242" s="8">
        <f t="shared" si="40"/>
        <v>0</v>
      </c>
      <c r="E242" s="8">
        <f t="shared" si="39"/>
        <v>0</v>
      </c>
      <c r="F242" s="8">
        <f t="shared" si="39"/>
        <v>0</v>
      </c>
      <c r="G242" s="8">
        <f t="shared" si="39"/>
        <v>0</v>
      </c>
      <c r="H242" s="8">
        <f t="shared" si="39"/>
        <v>0</v>
      </c>
      <c r="I242" s="8">
        <f t="shared" si="39"/>
        <v>0</v>
      </c>
      <c r="J242" s="8">
        <f t="shared" si="39"/>
        <v>0</v>
      </c>
      <c r="K242" s="8">
        <f t="shared" si="39"/>
        <v>0</v>
      </c>
      <c r="L242" s="8">
        <f t="shared" si="39"/>
        <v>0</v>
      </c>
      <c r="M242" s="8">
        <f t="shared" si="39"/>
        <v>0</v>
      </c>
      <c r="N242" s="8">
        <f t="shared" si="39"/>
        <v>0</v>
      </c>
      <c r="O242" s="8">
        <f t="shared" si="39"/>
        <v>0</v>
      </c>
      <c r="P242" s="8">
        <f t="shared" si="39"/>
        <v>0</v>
      </c>
      <c r="Q242" s="66">
        <f t="shared" si="39"/>
        <v>0</v>
      </c>
    </row>
    <row r="243" spans="2:17" x14ac:dyDescent="0.2">
      <c r="B243" s="65" t="s">
        <v>43</v>
      </c>
      <c r="C243" s="8">
        <f>D107</f>
        <v>22058.99</v>
      </c>
      <c r="D243" s="8">
        <f t="shared" si="40"/>
        <v>22058.99</v>
      </c>
      <c r="E243" s="8">
        <f t="shared" si="39"/>
        <v>22058.99</v>
      </c>
      <c r="F243" s="8">
        <f t="shared" si="39"/>
        <v>22058.99</v>
      </c>
      <c r="G243" s="8">
        <f t="shared" si="39"/>
        <v>22058.99</v>
      </c>
      <c r="H243" s="8">
        <f t="shared" si="39"/>
        <v>22058.99</v>
      </c>
      <c r="I243" s="8">
        <f t="shared" si="39"/>
        <v>22058.99</v>
      </c>
      <c r="J243" s="8">
        <f t="shared" si="39"/>
        <v>22058.99</v>
      </c>
      <c r="K243" s="8">
        <f t="shared" si="39"/>
        <v>22058.99</v>
      </c>
      <c r="L243" s="8">
        <f t="shared" si="39"/>
        <v>22058.99</v>
      </c>
      <c r="M243" s="8">
        <f t="shared" si="39"/>
        <v>22058.99</v>
      </c>
      <c r="N243" s="8">
        <f t="shared" si="39"/>
        <v>22058.99</v>
      </c>
      <c r="O243" s="8">
        <f t="shared" si="39"/>
        <v>22058.99</v>
      </c>
      <c r="P243" s="8">
        <f t="shared" si="39"/>
        <v>22058.99</v>
      </c>
      <c r="Q243" s="66">
        <f t="shared" si="39"/>
        <v>22058.99</v>
      </c>
    </row>
    <row r="244" spans="2:17" x14ac:dyDescent="0.2">
      <c r="B244" s="62" t="s">
        <v>44</v>
      </c>
      <c r="C244" s="7">
        <f>D108</f>
        <v>1362.67</v>
      </c>
      <c r="D244" s="7">
        <f t="shared" si="40"/>
        <v>1362.67</v>
      </c>
      <c r="E244" s="7">
        <f t="shared" si="39"/>
        <v>1362.67</v>
      </c>
      <c r="F244" s="7">
        <f t="shared" si="39"/>
        <v>1362.67</v>
      </c>
      <c r="G244" s="7">
        <f t="shared" si="39"/>
        <v>1362.67</v>
      </c>
      <c r="H244" s="7">
        <f t="shared" si="39"/>
        <v>1362.67</v>
      </c>
      <c r="I244" s="7">
        <f t="shared" si="39"/>
        <v>1362.67</v>
      </c>
      <c r="J244" s="7">
        <f t="shared" si="39"/>
        <v>1362.67</v>
      </c>
      <c r="K244" s="7">
        <f t="shared" si="39"/>
        <v>1362.67</v>
      </c>
      <c r="L244" s="7">
        <f t="shared" si="39"/>
        <v>1362.67</v>
      </c>
      <c r="M244" s="7">
        <f t="shared" si="39"/>
        <v>1362.67</v>
      </c>
      <c r="N244" s="7">
        <f t="shared" si="39"/>
        <v>1362.67</v>
      </c>
      <c r="O244" s="7">
        <f t="shared" si="39"/>
        <v>1362.67</v>
      </c>
      <c r="P244" s="7">
        <f t="shared" si="39"/>
        <v>1362.67</v>
      </c>
      <c r="Q244" s="64">
        <f t="shared" si="39"/>
        <v>1362.67</v>
      </c>
    </row>
    <row r="245" spans="2:17" x14ac:dyDescent="0.2">
      <c r="B245" s="62" t="s">
        <v>45</v>
      </c>
      <c r="C245" s="7">
        <f>D109</f>
        <v>24151.030000000195</v>
      </c>
      <c r="D245" s="7">
        <f t="shared" si="40"/>
        <v>24151.030000000195</v>
      </c>
      <c r="E245" s="7">
        <f t="shared" ref="E245:Q253" si="41">D245</f>
        <v>24151.030000000195</v>
      </c>
      <c r="F245" s="7">
        <f t="shared" si="41"/>
        <v>24151.030000000195</v>
      </c>
      <c r="G245" s="7">
        <f t="shared" si="41"/>
        <v>24151.030000000195</v>
      </c>
      <c r="H245" s="7">
        <f t="shared" si="41"/>
        <v>24151.030000000195</v>
      </c>
      <c r="I245" s="7">
        <f t="shared" si="41"/>
        <v>24151.030000000195</v>
      </c>
      <c r="J245" s="7">
        <f t="shared" si="41"/>
        <v>24151.030000000195</v>
      </c>
      <c r="K245" s="7">
        <f t="shared" si="41"/>
        <v>24151.030000000195</v>
      </c>
      <c r="L245" s="7">
        <f t="shared" si="41"/>
        <v>24151.030000000195</v>
      </c>
      <c r="M245" s="7">
        <f t="shared" si="41"/>
        <v>24151.030000000195</v>
      </c>
      <c r="N245" s="7">
        <f t="shared" si="41"/>
        <v>24151.030000000195</v>
      </c>
      <c r="O245" s="7">
        <f t="shared" si="41"/>
        <v>24151.030000000195</v>
      </c>
      <c r="P245" s="7">
        <f t="shared" si="41"/>
        <v>24151.030000000195</v>
      </c>
      <c r="Q245" s="64">
        <f t="shared" si="41"/>
        <v>24151.030000000195</v>
      </c>
    </row>
    <row r="246" spans="2:17" x14ac:dyDescent="0.2">
      <c r="B246" s="62" t="s">
        <v>46</v>
      </c>
      <c r="C246" s="7">
        <f>D110</f>
        <v>8953.68</v>
      </c>
      <c r="D246" s="7">
        <f t="shared" si="40"/>
        <v>8953.68</v>
      </c>
      <c r="E246" s="7">
        <f t="shared" si="41"/>
        <v>8953.68</v>
      </c>
      <c r="F246" s="7">
        <f t="shared" si="41"/>
        <v>8953.68</v>
      </c>
      <c r="G246" s="7">
        <f t="shared" si="41"/>
        <v>8953.68</v>
      </c>
      <c r="H246" s="7">
        <f t="shared" si="41"/>
        <v>8953.68</v>
      </c>
      <c r="I246" s="7">
        <f t="shared" si="41"/>
        <v>8953.68</v>
      </c>
      <c r="J246" s="7">
        <f t="shared" si="41"/>
        <v>8953.68</v>
      </c>
      <c r="K246" s="7">
        <f t="shared" si="41"/>
        <v>8953.68</v>
      </c>
      <c r="L246" s="7">
        <f t="shared" si="41"/>
        <v>8953.68</v>
      </c>
      <c r="M246" s="7">
        <f t="shared" si="41"/>
        <v>8953.68</v>
      </c>
      <c r="N246" s="7">
        <f t="shared" si="41"/>
        <v>8953.68</v>
      </c>
      <c r="O246" s="7">
        <f t="shared" si="41"/>
        <v>8953.68</v>
      </c>
      <c r="P246" s="7">
        <f t="shared" si="41"/>
        <v>8953.68</v>
      </c>
      <c r="Q246" s="64">
        <f t="shared" si="41"/>
        <v>8953.68</v>
      </c>
    </row>
    <row r="247" spans="2:17" x14ac:dyDescent="0.2">
      <c r="B247" s="62" t="s">
        <v>47</v>
      </c>
      <c r="C247" s="7">
        <f>D111</f>
        <v>20306.09</v>
      </c>
      <c r="D247" s="7">
        <f t="shared" si="40"/>
        <v>20306.09</v>
      </c>
      <c r="E247" s="7">
        <f t="shared" si="41"/>
        <v>20306.09</v>
      </c>
      <c r="F247" s="7">
        <f t="shared" si="41"/>
        <v>20306.09</v>
      </c>
      <c r="G247" s="7">
        <f t="shared" si="41"/>
        <v>20306.09</v>
      </c>
      <c r="H247" s="7">
        <f t="shared" si="41"/>
        <v>20306.09</v>
      </c>
      <c r="I247" s="7">
        <f t="shared" si="41"/>
        <v>20306.09</v>
      </c>
      <c r="J247" s="7">
        <f t="shared" si="41"/>
        <v>20306.09</v>
      </c>
      <c r="K247" s="7">
        <f t="shared" si="41"/>
        <v>20306.09</v>
      </c>
      <c r="L247" s="7">
        <f t="shared" si="41"/>
        <v>20306.09</v>
      </c>
      <c r="M247" s="7">
        <f t="shared" si="41"/>
        <v>20306.09</v>
      </c>
      <c r="N247" s="7">
        <f t="shared" si="41"/>
        <v>20306.09</v>
      </c>
      <c r="O247" s="7">
        <f t="shared" si="41"/>
        <v>20306.09</v>
      </c>
      <c r="P247" s="7">
        <f t="shared" si="41"/>
        <v>20306.09</v>
      </c>
      <c r="Q247" s="64">
        <f t="shared" si="41"/>
        <v>20306.09</v>
      </c>
    </row>
    <row r="248" spans="2:17" x14ac:dyDescent="0.2">
      <c r="B248" s="62" t="s">
        <v>48</v>
      </c>
      <c r="C248" s="7">
        <f>D112</f>
        <v>12798.620000000195</v>
      </c>
      <c r="D248" s="7">
        <f t="shared" si="40"/>
        <v>12798.620000000195</v>
      </c>
      <c r="E248" s="7">
        <f t="shared" si="41"/>
        <v>12798.620000000195</v>
      </c>
      <c r="F248" s="7">
        <f t="shared" si="41"/>
        <v>12798.620000000195</v>
      </c>
      <c r="G248" s="7">
        <f t="shared" si="41"/>
        <v>12798.620000000195</v>
      </c>
      <c r="H248" s="7">
        <f t="shared" si="41"/>
        <v>12798.620000000195</v>
      </c>
      <c r="I248" s="7">
        <f t="shared" si="41"/>
        <v>12798.620000000195</v>
      </c>
      <c r="J248" s="7">
        <f t="shared" si="41"/>
        <v>12798.620000000195</v>
      </c>
      <c r="K248" s="7">
        <f t="shared" si="41"/>
        <v>12798.620000000195</v>
      </c>
      <c r="L248" s="7">
        <f t="shared" si="41"/>
        <v>12798.620000000195</v>
      </c>
      <c r="M248" s="7">
        <f t="shared" si="41"/>
        <v>12798.620000000195</v>
      </c>
      <c r="N248" s="7">
        <f t="shared" si="41"/>
        <v>12798.620000000195</v>
      </c>
      <c r="O248" s="7">
        <f t="shared" si="41"/>
        <v>12798.620000000195</v>
      </c>
      <c r="P248" s="7">
        <f t="shared" si="41"/>
        <v>12798.620000000195</v>
      </c>
      <c r="Q248" s="64">
        <f t="shared" si="41"/>
        <v>12798.620000000195</v>
      </c>
    </row>
    <row r="249" spans="2:17" x14ac:dyDescent="0.2">
      <c r="B249" s="62" t="s">
        <v>49</v>
      </c>
      <c r="C249" s="7">
        <f>D113</f>
        <v>0</v>
      </c>
      <c r="D249" s="7">
        <f t="shared" si="40"/>
        <v>0</v>
      </c>
      <c r="E249" s="7">
        <f t="shared" si="41"/>
        <v>0</v>
      </c>
      <c r="F249" s="7">
        <f t="shared" si="41"/>
        <v>0</v>
      </c>
      <c r="G249" s="7">
        <f t="shared" si="41"/>
        <v>0</v>
      </c>
      <c r="H249" s="7">
        <f t="shared" si="41"/>
        <v>0</v>
      </c>
      <c r="I249" s="7">
        <f t="shared" si="41"/>
        <v>0</v>
      </c>
      <c r="J249" s="7">
        <f t="shared" si="41"/>
        <v>0</v>
      </c>
      <c r="K249" s="7">
        <f t="shared" si="41"/>
        <v>0</v>
      </c>
      <c r="L249" s="7">
        <f t="shared" si="41"/>
        <v>0</v>
      </c>
      <c r="M249" s="7">
        <f t="shared" si="41"/>
        <v>0</v>
      </c>
      <c r="N249" s="7">
        <f t="shared" si="41"/>
        <v>0</v>
      </c>
      <c r="O249" s="7">
        <f t="shared" si="41"/>
        <v>0</v>
      </c>
      <c r="P249" s="7">
        <f t="shared" si="41"/>
        <v>0</v>
      </c>
      <c r="Q249" s="64">
        <f t="shared" si="41"/>
        <v>0</v>
      </c>
    </row>
    <row r="250" spans="2:17" x14ac:dyDescent="0.2">
      <c r="B250" s="62" t="s">
        <v>50</v>
      </c>
      <c r="C250" s="7">
        <f>D114</f>
        <v>12798.620000000195</v>
      </c>
      <c r="D250" s="7">
        <f t="shared" si="40"/>
        <v>12798.620000000195</v>
      </c>
      <c r="E250" s="7">
        <f t="shared" si="41"/>
        <v>12798.620000000195</v>
      </c>
      <c r="F250" s="7">
        <f t="shared" si="41"/>
        <v>12798.620000000195</v>
      </c>
      <c r="G250" s="7">
        <f t="shared" si="41"/>
        <v>12798.620000000195</v>
      </c>
      <c r="H250" s="7">
        <f t="shared" si="41"/>
        <v>12798.620000000195</v>
      </c>
      <c r="I250" s="7">
        <f t="shared" si="41"/>
        <v>12798.620000000195</v>
      </c>
      <c r="J250" s="7">
        <f t="shared" si="41"/>
        <v>12798.620000000195</v>
      </c>
      <c r="K250" s="7">
        <f t="shared" si="41"/>
        <v>12798.620000000195</v>
      </c>
      <c r="L250" s="7">
        <f t="shared" si="41"/>
        <v>12798.620000000195</v>
      </c>
      <c r="M250" s="7">
        <f t="shared" si="41"/>
        <v>12798.620000000195</v>
      </c>
      <c r="N250" s="7">
        <f t="shared" si="41"/>
        <v>12798.620000000195</v>
      </c>
      <c r="O250" s="7">
        <f t="shared" si="41"/>
        <v>12798.620000000195</v>
      </c>
      <c r="P250" s="7">
        <f t="shared" si="41"/>
        <v>12798.620000000195</v>
      </c>
      <c r="Q250" s="64">
        <f t="shared" si="41"/>
        <v>12798.620000000195</v>
      </c>
    </row>
    <row r="251" spans="2:17" x14ac:dyDescent="0.2">
      <c r="B251" s="62" t="s">
        <v>51</v>
      </c>
      <c r="C251" s="7">
        <f>D115</f>
        <v>0</v>
      </c>
      <c r="D251" s="7">
        <f t="shared" si="40"/>
        <v>0</v>
      </c>
      <c r="E251" s="7">
        <f t="shared" si="41"/>
        <v>0</v>
      </c>
      <c r="F251" s="7">
        <f t="shared" si="41"/>
        <v>0</v>
      </c>
      <c r="G251" s="7">
        <f t="shared" si="41"/>
        <v>0</v>
      </c>
      <c r="H251" s="7">
        <f t="shared" si="41"/>
        <v>0</v>
      </c>
      <c r="I251" s="7">
        <f t="shared" si="41"/>
        <v>0</v>
      </c>
      <c r="J251" s="7">
        <f t="shared" si="41"/>
        <v>0</v>
      </c>
      <c r="K251" s="7">
        <f t="shared" si="41"/>
        <v>0</v>
      </c>
      <c r="L251" s="7">
        <f t="shared" si="41"/>
        <v>0</v>
      </c>
      <c r="M251" s="7">
        <f t="shared" si="41"/>
        <v>0</v>
      </c>
      <c r="N251" s="7">
        <f t="shared" si="41"/>
        <v>0</v>
      </c>
      <c r="O251" s="7">
        <f t="shared" si="41"/>
        <v>0</v>
      </c>
      <c r="P251" s="7">
        <f t="shared" si="41"/>
        <v>0</v>
      </c>
      <c r="Q251" s="64">
        <f t="shared" si="41"/>
        <v>0</v>
      </c>
    </row>
    <row r="252" spans="2:17" x14ac:dyDescent="0.2">
      <c r="B252" s="67" t="s">
        <v>52</v>
      </c>
      <c r="C252" s="7">
        <f>D116</f>
        <v>0</v>
      </c>
      <c r="D252" s="7">
        <f t="shared" si="40"/>
        <v>0</v>
      </c>
      <c r="E252" s="7">
        <f t="shared" si="41"/>
        <v>0</v>
      </c>
      <c r="F252" s="7">
        <f t="shared" si="41"/>
        <v>0</v>
      </c>
      <c r="G252" s="7">
        <f t="shared" si="41"/>
        <v>0</v>
      </c>
      <c r="H252" s="7">
        <f t="shared" si="41"/>
        <v>0</v>
      </c>
      <c r="I252" s="7">
        <f t="shared" si="41"/>
        <v>0</v>
      </c>
      <c r="J252" s="7">
        <f t="shared" si="41"/>
        <v>0</v>
      </c>
      <c r="K252" s="7">
        <f t="shared" si="41"/>
        <v>0</v>
      </c>
      <c r="L252" s="7">
        <f t="shared" si="41"/>
        <v>0</v>
      </c>
      <c r="M252" s="7">
        <f t="shared" si="41"/>
        <v>0</v>
      </c>
      <c r="N252" s="7">
        <f t="shared" si="41"/>
        <v>0</v>
      </c>
      <c r="O252" s="7">
        <f t="shared" si="41"/>
        <v>0</v>
      </c>
      <c r="P252" s="7">
        <f t="shared" si="41"/>
        <v>0</v>
      </c>
      <c r="Q252" s="64">
        <f t="shared" si="41"/>
        <v>0</v>
      </c>
    </row>
    <row r="253" spans="2:17" x14ac:dyDescent="0.2">
      <c r="B253" s="68" t="s">
        <v>53</v>
      </c>
      <c r="C253" s="69">
        <f>D117</f>
        <v>12798.620000000195</v>
      </c>
      <c r="D253" s="69">
        <f t="shared" si="40"/>
        <v>12798.620000000195</v>
      </c>
      <c r="E253" s="69">
        <f t="shared" si="41"/>
        <v>12798.620000000195</v>
      </c>
      <c r="F253" s="69">
        <f t="shared" si="41"/>
        <v>12798.620000000195</v>
      </c>
      <c r="G253" s="69">
        <f t="shared" si="41"/>
        <v>12798.620000000195</v>
      </c>
      <c r="H253" s="69">
        <f t="shared" si="41"/>
        <v>12798.620000000195</v>
      </c>
      <c r="I253" s="69">
        <f t="shared" si="41"/>
        <v>12798.620000000195</v>
      </c>
      <c r="J253" s="69">
        <f t="shared" si="41"/>
        <v>12798.620000000195</v>
      </c>
      <c r="K253" s="69">
        <f t="shared" si="41"/>
        <v>12798.620000000195</v>
      </c>
      <c r="L253" s="69">
        <f t="shared" si="41"/>
        <v>12798.620000000195</v>
      </c>
      <c r="M253" s="69">
        <f t="shared" si="41"/>
        <v>12798.620000000195</v>
      </c>
      <c r="N253" s="69">
        <f t="shared" si="41"/>
        <v>12798.620000000195</v>
      </c>
      <c r="O253" s="69">
        <f t="shared" si="41"/>
        <v>12798.620000000195</v>
      </c>
      <c r="P253" s="69">
        <f t="shared" si="41"/>
        <v>12798.620000000195</v>
      </c>
      <c r="Q253" s="70">
        <f t="shared" si="41"/>
        <v>12798.620000000195</v>
      </c>
    </row>
    <row r="257" spans="1:17" x14ac:dyDescent="0.2">
      <c r="A257" s="6" t="s">
        <v>170</v>
      </c>
      <c r="B257" s="6" t="s">
        <v>93</v>
      </c>
    </row>
    <row r="258" spans="1:17" x14ac:dyDescent="0.2">
      <c r="B258" s="9" t="s">
        <v>56</v>
      </c>
      <c r="C258" s="126">
        <f t="shared" ref="C258:Q258" si="42">C$148</f>
        <v>2017</v>
      </c>
      <c r="D258" s="126">
        <f t="shared" si="42"/>
        <v>2018</v>
      </c>
      <c r="E258" s="126">
        <f t="shared" si="42"/>
        <v>2019</v>
      </c>
      <c r="F258" s="126">
        <f t="shared" si="42"/>
        <v>2020</v>
      </c>
      <c r="G258" s="126">
        <f t="shared" si="42"/>
        <v>2021</v>
      </c>
      <c r="H258" s="126">
        <f t="shared" si="42"/>
        <v>2022</v>
      </c>
      <c r="I258" s="126">
        <f t="shared" si="42"/>
        <v>2023</v>
      </c>
      <c r="J258" s="126">
        <f t="shared" si="42"/>
        <v>2024</v>
      </c>
      <c r="K258" s="126">
        <f t="shared" si="42"/>
        <v>2025</v>
      </c>
      <c r="L258" s="126">
        <f t="shared" si="42"/>
        <v>2026</v>
      </c>
      <c r="M258" s="126">
        <f t="shared" si="42"/>
        <v>2027</v>
      </c>
      <c r="N258" s="126">
        <f t="shared" si="42"/>
        <v>2028</v>
      </c>
      <c r="O258" s="126">
        <f t="shared" si="42"/>
        <v>2029</v>
      </c>
      <c r="P258" s="126">
        <f t="shared" si="42"/>
        <v>2030</v>
      </c>
      <c r="Q258" s="127">
        <f t="shared" si="42"/>
        <v>2031</v>
      </c>
    </row>
    <row r="259" spans="1:17" x14ac:dyDescent="0.2">
      <c r="B259" s="62" t="s">
        <v>29</v>
      </c>
      <c r="C259" s="95">
        <f>C229+C209</f>
        <v>1863091.55</v>
      </c>
      <c r="D259" s="95">
        <f t="shared" ref="D259:Q259" si="43">D229+D209</f>
        <v>1863091.55</v>
      </c>
      <c r="E259" s="95">
        <f t="shared" si="43"/>
        <v>1913091.55</v>
      </c>
      <c r="F259" s="95">
        <f t="shared" si="43"/>
        <v>2013091.55</v>
      </c>
      <c r="G259" s="95">
        <f t="shared" si="43"/>
        <v>2013091.55</v>
      </c>
      <c r="H259" s="95">
        <f t="shared" si="43"/>
        <v>2013091.55</v>
      </c>
      <c r="I259" s="95">
        <f t="shared" si="43"/>
        <v>2013091.55</v>
      </c>
      <c r="J259" s="95">
        <f t="shared" si="43"/>
        <v>2013091.55</v>
      </c>
      <c r="K259" s="95">
        <f t="shared" si="43"/>
        <v>2013091.55</v>
      </c>
      <c r="L259" s="95">
        <f t="shared" si="43"/>
        <v>2013091.55</v>
      </c>
      <c r="M259" s="95">
        <f t="shared" si="43"/>
        <v>2013091.55</v>
      </c>
      <c r="N259" s="95">
        <f t="shared" si="43"/>
        <v>2013091.55</v>
      </c>
      <c r="O259" s="95">
        <f t="shared" si="43"/>
        <v>2013091.55</v>
      </c>
      <c r="P259" s="95">
        <f t="shared" si="43"/>
        <v>2013091.55</v>
      </c>
      <c r="Q259" s="95">
        <f t="shared" si="43"/>
        <v>2013091.55</v>
      </c>
    </row>
    <row r="260" spans="1:17" x14ac:dyDescent="0.2">
      <c r="B260" s="62" t="s">
        <v>30</v>
      </c>
      <c r="C260" s="7">
        <f>SUM(C261:C268)</f>
        <v>1859636.8399999999</v>
      </c>
      <c r="D260" s="7">
        <f t="shared" ref="D260:Q260" si="44">SUM(D261:D268)</f>
        <v>1859636.8399999999</v>
      </c>
      <c r="E260" s="7">
        <f t="shared" si="44"/>
        <v>2334550.17</v>
      </c>
      <c r="F260" s="7">
        <f t="shared" si="44"/>
        <v>2461006.84</v>
      </c>
      <c r="G260" s="7">
        <f t="shared" si="44"/>
        <v>2461006.84</v>
      </c>
      <c r="H260" s="7">
        <f t="shared" si="44"/>
        <v>2461006.84</v>
      </c>
      <c r="I260" s="7">
        <f t="shared" si="44"/>
        <v>2461006.84</v>
      </c>
      <c r="J260" s="7">
        <f t="shared" si="44"/>
        <v>2461006.84</v>
      </c>
      <c r="K260" s="7">
        <f t="shared" si="44"/>
        <v>2461450.9224999999</v>
      </c>
      <c r="L260" s="7">
        <f t="shared" si="44"/>
        <v>2366117.5924999998</v>
      </c>
      <c r="M260" s="7">
        <f t="shared" si="44"/>
        <v>2279450.9224999999</v>
      </c>
      <c r="N260" s="7">
        <f t="shared" si="44"/>
        <v>2279450.9224999999</v>
      </c>
      <c r="O260" s="7">
        <f t="shared" si="44"/>
        <v>2279450.9224999999</v>
      </c>
      <c r="P260" s="7">
        <f t="shared" si="44"/>
        <v>2279895.0049999999</v>
      </c>
      <c r="Q260" s="7">
        <f t="shared" si="44"/>
        <v>2279895.0049999999</v>
      </c>
    </row>
    <row r="261" spans="1:17" x14ac:dyDescent="0.2">
      <c r="B261" s="65" t="s">
        <v>31</v>
      </c>
      <c r="C261" s="96">
        <f>C231+C215</f>
        <v>206573.28</v>
      </c>
      <c r="D261" s="96">
        <f t="shared" ref="D261:Q261" si="45">D231+D215</f>
        <v>206573.28</v>
      </c>
      <c r="E261" s="96">
        <f t="shared" si="45"/>
        <v>459486.61</v>
      </c>
      <c r="F261" s="96">
        <f t="shared" si="45"/>
        <v>585943.28</v>
      </c>
      <c r="G261" s="96">
        <f t="shared" si="45"/>
        <v>585943.28</v>
      </c>
      <c r="H261" s="96">
        <f t="shared" si="45"/>
        <v>585943.28</v>
      </c>
      <c r="I261" s="96">
        <f t="shared" si="45"/>
        <v>585943.28</v>
      </c>
      <c r="J261" s="96">
        <f t="shared" si="45"/>
        <v>585943.28</v>
      </c>
      <c r="K261" s="96">
        <f t="shared" si="45"/>
        <v>586387.36250000005</v>
      </c>
      <c r="L261" s="96">
        <f t="shared" si="45"/>
        <v>491054.03249999997</v>
      </c>
      <c r="M261" s="96">
        <f t="shared" si="45"/>
        <v>404387.36249999999</v>
      </c>
      <c r="N261" s="96">
        <f t="shared" si="45"/>
        <v>404387.36249999999</v>
      </c>
      <c r="O261" s="96">
        <f t="shared" si="45"/>
        <v>404387.36249999999</v>
      </c>
      <c r="P261" s="96">
        <f t="shared" si="45"/>
        <v>404831.44500000001</v>
      </c>
      <c r="Q261" s="96">
        <f t="shared" si="45"/>
        <v>404831.44500000001</v>
      </c>
    </row>
    <row r="262" spans="1:17" x14ac:dyDescent="0.2">
      <c r="B262" s="65" t="s">
        <v>32</v>
      </c>
      <c r="C262" s="96">
        <f t="shared" ref="C262:Q268" si="46">C232+C216</f>
        <v>155477.94</v>
      </c>
      <c r="D262" s="96">
        <f t="shared" si="46"/>
        <v>155477.94</v>
      </c>
      <c r="E262" s="96">
        <f t="shared" si="46"/>
        <v>175477.94</v>
      </c>
      <c r="F262" s="96">
        <f t="shared" si="46"/>
        <v>175477.94</v>
      </c>
      <c r="G262" s="96">
        <f t="shared" si="46"/>
        <v>175477.94</v>
      </c>
      <c r="H262" s="96">
        <f t="shared" si="46"/>
        <v>175477.94</v>
      </c>
      <c r="I262" s="96">
        <f t="shared" si="46"/>
        <v>175477.94</v>
      </c>
      <c r="J262" s="96">
        <f t="shared" si="46"/>
        <v>175477.94</v>
      </c>
      <c r="K262" s="96">
        <f t="shared" si="46"/>
        <v>175477.94</v>
      </c>
      <c r="L262" s="96">
        <f t="shared" si="46"/>
        <v>175477.94</v>
      </c>
      <c r="M262" s="96">
        <f t="shared" si="46"/>
        <v>175477.94</v>
      </c>
      <c r="N262" s="96">
        <f t="shared" si="46"/>
        <v>175477.94</v>
      </c>
      <c r="O262" s="96">
        <f t="shared" si="46"/>
        <v>175477.94</v>
      </c>
      <c r="P262" s="96">
        <f t="shared" si="46"/>
        <v>175477.94</v>
      </c>
      <c r="Q262" s="96">
        <f t="shared" si="46"/>
        <v>175477.94</v>
      </c>
    </row>
    <row r="263" spans="1:17" x14ac:dyDescent="0.2">
      <c r="B263" s="65" t="s">
        <v>33</v>
      </c>
      <c r="C263" s="96">
        <f t="shared" si="46"/>
        <v>160045.78</v>
      </c>
      <c r="D263" s="96">
        <f t="shared" si="46"/>
        <v>160045.78</v>
      </c>
      <c r="E263" s="96">
        <f t="shared" si="46"/>
        <v>175045.78</v>
      </c>
      <c r="F263" s="96">
        <f t="shared" si="46"/>
        <v>175045.78</v>
      </c>
      <c r="G263" s="96">
        <f t="shared" si="46"/>
        <v>175045.78</v>
      </c>
      <c r="H263" s="96">
        <f t="shared" si="46"/>
        <v>175045.78</v>
      </c>
      <c r="I263" s="96">
        <f t="shared" si="46"/>
        <v>175045.78</v>
      </c>
      <c r="J263" s="96">
        <f t="shared" si="46"/>
        <v>175045.78</v>
      </c>
      <c r="K263" s="96">
        <f t="shared" si="46"/>
        <v>175045.78</v>
      </c>
      <c r="L263" s="96">
        <f t="shared" si="46"/>
        <v>175045.78</v>
      </c>
      <c r="M263" s="96">
        <f t="shared" si="46"/>
        <v>175045.78</v>
      </c>
      <c r="N263" s="96">
        <f t="shared" si="46"/>
        <v>175045.78</v>
      </c>
      <c r="O263" s="96">
        <f t="shared" si="46"/>
        <v>175045.78</v>
      </c>
      <c r="P263" s="96">
        <f t="shared" si="46"/>
        <v>175045.78</v>
      </c>
      <c r="Q263" s="96">
        <f t="shared" si="46"/>
        <v>175045.78</v>
      </c>
    </row>
    <row r="264" spans="1:17" x14ac:dyDescent="0.2">
      <c r="B264" s="65" t="s">
        <v>34</v>
      </c>
      <c r="C264" s="96">
        <f t="shared" si="46"/>
        <v>81316.710000000006</v>
      </c>
      <c r="D264" s="96">
        <f t="shared" si="46"/>
        <v>81316.710000000006</v>
      </c>
      <c r="E264" s="96">
        <f t="shared" si="46"/>
        <v>86316.71</v>
      </c>
      <c r="F264" s="96">
        <f t="shared" si="46"/>
        <v>86316.71</v>
      </c>
      <c r="G264" s="96">
        <f t="shared" si="46"/>
        <v>86316.71</v>
      </c>
      <c r="H264" s="96">
        <f t="shared" si="46"/>
        <v>86316.71</v>
      </c>
      <c r="I264" s="96">
        <f t="shared" si="46"/>
        <v>86316.71</v>
      </c>
      <c r="J264" s="96">
        <f t="shared" si="46"/>
        <v>86316.71</v>
      </c>
      <c r="K264" s="96">
        <f t="shared" si="46"/>
        <v>86316.71</v>
      </c>
      <c r="L264" s="96">
        <f t="shared" si="46"/>
        <v>86316.71</v>
      </c>
      <c r="M264" s="96">
        <f t="shared" si="46"/>
        <v>86316.71</v>
      </c>
      <c r="N264" s="96">
        <f t="shared" si="46"/>
        <v>86316.71</v>
      </c>
      <c r="O264" s="96">
        <f t="shared" si="46"/>
        <v>86316.71</v>
      </c>
      <c r="P264" s="96">
        <f t="shared" si="46"/>
        <v>86316.71</v>
      </c>
      <c r="Q264" s="96">
        <f t="shared" si="46"/>
        <v>86316.71</v>
      </c>
    </row>
    <row r="265" spans="1:17" x14ac:dyDescent="0.2">
      <c r="B265" s="65" t="s">
        <v>35</v>
      </c>
      <c r="C265" s="96">
        <f t="shared" si="46"/>
        <v>701979.13</v>
      </c>
      <c r="D265" s="96">
        <f t="shared" si="46"/>
        <v>701979.13</v>
      </c>
      <c r="E265" s="96">
        <f t="shared" si="46"/>
        <v>851979.13</v>
      </c>
      <c r="F265" s="96">
        <f t="shared" si="46"/>
        <v>851979.13</v>
      </c>
      <c r="G265" s="96">
        <f t="shared" si="46"/>
        <v>851979.13</v>
      </c>
      <c r="H265" s="96">
        <f t="shared" si="46"/>
        <v>851979.13</v>
      </c>
      <c r="I265" s="96">
        <f t="shared" si="46"/>
        <v>851979.13</v>
      </c>
      <c r="J265" s="96">
        <f t="shared" si="46"/>
        <v>851979.13</v>
      </c>
      <c r="K265" s="96">
        <f t="shared" si="46"/>
        <v>851979.13</v>
      </c>
      <c r="L265" s="96">
        <f t="shared" si="46"/>
        <v>851979.13</v>
      </c>
      <c r="M265" s="96">
        <f t="shared" si="46"/>
        <v>851979.13</v>
      </c>
      <c r="N265" s="96">
        <f t="shared" si="46"/>
        <v>851979.13</v>
      </c>
      <c r="O265" s="96">
        <f t="shared" si="46"/>
        <v>851979.13</v>
      </c>
      <c r="P265" s="96">
        <f t="shared" si="46"/>
        <v>851979.13</v>
      </c>
      <c r="Q265" s="96">
        <f t="shared" si="46"/>
        <v>851979.13</v>
      </c>
    </row>
    <row r="266" spans="1:17" x14ac:dyDescent="0.2">
      <c r="B266" s="65" t="s">
        <v>36</v>
      </c>
      <c r="C266" s="96">
        <f t="shared" si="46"/>
        <v>192218.56</v>
      </c>
      <c r="D266" s="96">
        <f t="shared" si="46"/>
        <v>192218.56</v>
      </c>
      <c r="E266" s="96">
        <f t="shared" si="46"/>
        <v>223718.56</v>
      </c>
      <c r="F266" s="96">
        <f t="shared" si="46"/>
        <v>223718.56</v>
      </c>
      <c r="G266" s="96">
        <f t="shared" si="46"/>
        <v>223718.56</v>
      </c>
      <c r="H266" s="96">
        <f t="shared" si="46"/>
        <v>223718.56</v>
      </c>
      <c r="I266" s="96">
        <f t="shared" si="46"/>
        <v>223718.56</v>
      </c>
      <c r="J266" s="96">
        <f t="shared" si="46"/>
        <v>223718.56</v>
      </c>
      <c r="K266" s="96">
        <f t="shared" si="46"/>
        <v>223718.56</v>
      </c>
      <c r="L266" s="96">
        <f t="shared" si="46"/>
        <v>223718.56</v>
      </c>
      <c r="M266" s="96">
        <f t="shared" si="46"/>
        <v>223718.56</v>
      </c>
      <c r="N266" s="96">
        <f t="shared" si="46"/>
        <v>223718.56</v>
      </c>
      <c r="O266" s="96">
        <f t="shared" si="46"/>
        <v>223718.56</v>
      </c>
      <c r="P266" s="96">
        <f t="shared" si="46"/>
        <v>223718.56</v>
      </c>
      <c r="Q266" s="96">
        <f t="shared" si="46"/>
        <v>223718.56</v>
      </c>
    </row>
    <row r="267" spans="1:17" x14ac:dyDescent="0.2">
      <c r="B267" s="65" t="s">
        <v>37</v>
      </c>
      <c r="C267" s="96">
        <f t="shared" si="46"/>
        <v>78350.13</v>
      </c>
      <c r="D267" s="96">
        <f t="shared" si="46"/>
        <v>78350.13</v>
      </c>
      <c r="E267" s="96">
        <f t="shared" si="46"/>
        <v>78850.13</v>
      </c>
      <c r="F267" s="96">
        <f t="shared" si="46"/>
        <v>78850.13</v>
      </c>
      <c r="G267" s="96">
        <f t="shared" si="46"/>
        <v>78850.13</v>
      </c>
      <c r="H267" s="96">
        <f t="shared" si="46"/>
        <v>78850.13</v>
      </c>
      <c r="I267" s="96">
        <f t="shared" si="46"/>
        <v>78850.13</v>
      </c>
      <c r="J267" s="96">
        <f t="shared" si="46"/>
        <v>78850.13</v>
      </c>
      <c r="K267" s="96">
        <f t="shared" si="46"/>
        <v>78850.13</v>
      </c>
      <c r="L267" s="96">
        <f t="shared" si="46"/>
        <v>78850.13</v>
      </c>
      <c r="M267" s="96">
        <f t="shared" si="46"/>
        <v>78850.13</v>
      </c>
      <c r="N267" s="96">
        <f t="shared" si="46"/>
        <v>78850.13</v>
      </c>
      <c r="O267" s="96">
        <f t="shared" si="46"/>
        <v>78850.13</v>
      </c>
      <c r="P267" s="96">
        <f t="shared" si="46"/>
        <v>78850.13</v>
      </c>
      <c r="Q267" s="96">
        <f t="shared" si="46"/>
        <v>78850.13</v>
      </c>
    </row>
    <row r="268" spans="1:17" x14ac:dyDescent="0.2">
      <c r="B268" s="65" t="s">
        <v>38</v>
      </c>
      <c r="C268" s="96">
        <f t="shared" si="46"/>
        <v>283675.31</v>
      </c>
      <c r="D268" s="96">
        <f t="shared" si="46"/>
        <v>283675.31</v>
      </c>
      <c r="E268" s="96">
        <f t="shared" si="46"/>
        <v>283675.31</v>
      </c>
      <c r="F268" s="96">
        <f t="shared" si="46"/>
        <v>283675.31</v>
      </c>
      <c r="G268" s="96">
        <f t="shared" si="46"/>
        <v>283675.31</v>
      </c>
      <c r="H268" s="96">
        <f t="shared" si="46"/>
        <v>283675.31</v>
      </c>
      <c r="I268" s="96">
        <f t="shared" si="46"/>
        <v>283675.31</v>
      </c>
      <c r="J268" s="96">
        <f t="shared" si="46"/>
        <v>283675.31</v>
      </c>
      <c r="K268" s="96">
        <f t="shared" si="46"/>
        <v>283675.31</v>
      </c>
      <c r="L268" s="96">
        <f t="shared" si="46"/>
        <v>283675.31</v>
      </c>
      <c r="M268" s="96">
        <f t="shared" si="46"/>
        <v>283675.31</v>
      </c>
      <c r="N268" s="96">
        <f t="shared" si="46"/>
        <v>283675.31</v>
      </c>
      <c r="O268" s="96">
        <f t="shared" si="46"/>
        <v>283675.31</v>
      </c>
      <c r="P268" s="96">
        <f t="shared" si="46"/>
        <v>283675.31</v>
      </c>
      <c r="Q268" s="96">
        <f t="shared" si="46"/>
        <v>283675.31</v>
      </c>
    </row>
    <row r="269" spans="1:17" x14ac:dyDescent="0.2">
      <c r="B269" s="62" t="s">
        <v>39</v>
      </c>
      <c r="C269" s="7">
        <f>C259-C260</f>
        <v>3454.7100000001956</v>
      </c>
      <c r="D269" s="7">
        <f t="shared" ref="D269:Q269" si="47">D259-D260</f>
        <v>3454.7100000001956</v>
      </c>
      <c r="E269" s="7">
        <f t="shared" si="47"/>
        <v>-421458.61999999988</v>
      </c>
      <c r="F269" s="7">
        <f t="shared" si="47"/>
        <v>-447915.2899999998</v>
      </c>
      <c r="G269" s="7">
        <f t="shared" si="47"/>
        <v>-447915.2899999998</v>
      </c>
      <c r="H269" s="7">
        <f t="shared" si="47"/>
        <v>-447915.2899999998</v>
      </c>
      <c r="I269" s="7">
        <f t="shared" si="47"/>
        <v>-447915.2899999998</v>
      </c>
      <c r="J269" s="7">
        <f t="shared" si="47"/>
        <v>-447915.2899999998</v>
      </c>
      <c r="K269" s="7">
        <f t="shared" si="47"/>
        <v>-448359.37249999982</v>
      </c>
      <c r="L269" s="7">
        <f t="shared" si="47"/>
        <v>-353026.04249999975</v>
      </c>
      <c r="M269" s="7">
        <f t="shared" si="47"/>
        <v>-266359.37249999982</v>
      </c>
      <c r="N269" s="7">
        <f t="shared" si="47"/>
        <v>-266359.37249999982</v>
      </c>
      <c r="O269" s="7">
        <f t="shared" si="47"/>
        <v>-266359.37249999982</v>
      </c>
      <c r="P269" s="7">
        <f t="shared" si="47"/>
        <v>-266803.45499999984</v>
      </c>
      <c r="Q269" s="7">
        <f t="shared" si="47"/>
        <v>-266803.45499999984</v>
      </c>
    </row>
    <row r="270" spans="1:17" x14ac:dyDescent="0.2">
      <c r="B270" s="62" t="s">
        <v>40</v>
      </c>
      <c r="C270" s="7">
        <f>SUM(C271:C273)</f>
        <v>22058.99</v>
      </c>
      <c r="D270" s="7">
        <f t="shared" ref="D270:Q270" si="48">SUM(D271:D273)</f>
        <v>22058.99</v>
      </c>
      <c r="E270" s="7">
        <f t="shared" si="48"/>
        <v>560324.32333333336</v>
      </c>
      <c r="F270" s="7">
        <f t="shared" si="48"/>
        <v>829456.99</v>
      </c>
      <c r="G270" s="7">
        <f t="shared" si="48"/>
        <v>829456.99</v>
      </c>
      <c r="H270" s="7">
        <f t="shared" si="48"/>
        <v>526006.99</v>
      </c>
      <c r="I270" s="7">
        <f t="shared" si="48"/>
        <v>352606.99</v>
      </c>
      <c r="J270" s="7">
        <f t="shared" si="48"/>
        <v>278940.32</v>
      </c>
      <c r="K270" s="7">
        <f t="shared" si="48"/>
        <v>242106.99</v>
      </c>
      <c r="L270" s="7">
        <f t="shared" si="48"/>
        <v>192240.32</v>
      </c>
      <c r="M270" s="7">
        <f t="shared" si="48"/>
        <v>146906.99</v>
      </c>
      <c r="N270" s="7">
        <f t="shared" si="48"/>
        <v>146906.99</v>
      </c>
      <c r="O270" s="7">
        <f t="shared" si="48"/>
        <v>146906.99</v>
      </c>
      <c r="P270" s="7">
        <f t="shared" si="48"/>
        <v>146906.99</v>
      </c>
      <c r="Q270" s="7">
        <f t="shared" si="48"/>
        <v>146906.99</v>
      </c>
    </row>
    <row r="271" spans="1:17" x14ac:dyDescent="0.2">
      <c r="B271" s="65" t="s">
        <v>41</v>
      </c>
      <c r="C271" s="8">
        <f>C241</f>
        <v>0</v>
      </c>
      <c r="D271" s="8">
        <f t="shared" ref="D271:Q271" si="49">D241</f>
        <v>0</v>
      </c>
      <c r="E271" s="8">
        <f t="shared" si="49"/>
        <v>0</v>
      </c>
      <c r="F271" s="8">
        <f t="shared" si="49"/>
        <v>0</v>
      </c>
      <c r="G271" s="8">
        <f t="shared" si="49"/>
        <v>0</v>
      </c>
      <c r="H271" s="8">
        <f t="shared" si="49"/>
        <v>0</v>
      </c>
      <c r="I271" s="8">
        <f t="shared" si="49"/>
        <v>0</v>
      </c>
      <c r="J271" s="8">
        <f t="shared" si="49"/>
        <v>0</v>
      </c>
      <c r="K271" s="8">
        <f t="shared" si="49"/>
        <v>0</v>
      </c>
      <c r="L271" s="8">
        <f t="shared" si="49"/>
        <v>0</v>
      </c>
      <c r="M271" s="8">
        <f t="shared" si="49"/>
        <v>0</v>
      </c>
      <c r="N271" s="8">
        <f t="shared" si="49"/>
        <v>0</v>
      </c>
      <c r="O271" s="8">
        <f t="shared" si="49"/>
        <v>0</v>
      </c>
      <c r="P271" s="8">
        <f t="shared" si="49"/>
        <v>0</v>
      </c>
      <c r="Q271" s="8">
        <f t="shared" si="49"/>
        <v>0</v>
      </c>
    </row>
    <row r="272" spans="1:17" x14ac:dyDescent="0.2">
      <c r="B272" s="65" t="s">
        <v>42</v>
      </c>
      <c r="C272" s="96">
        <f>C242+C203</f>
        <v>0</v>
      </c>
      <c r="D272" s="96">
        <f t="shared" ref="D272:Q272" si="50">D242+D203</f>
        <v>0</v>
      </c>
      <c r="E272" s="96">
        <f t="shared" si="50"/>
        <v>538265.33333333337</v>
      </c>
      <c r="F272" s="96">
        <f t="shared" si="50"/>
        <v>807398</v>
      </c>
      <c r="G272" s="96">
        <f t="shared" si="50"/>
        <v>807398</v>
      </c>
      <c r="H272" s="96">
        <f t="shared" si="50"/>
        <v>503948</v>
      </c>
      <c r="I272" s="96">
        <f t="shared" si="50"/>
        <v>330548</v>
      </c>
      <c r="J272" s="96">
        <f t="shared" si="50"/>
        <v>256881.33000000002</v>
      </c>
      <c r="K272" s="96">
        <f t="shared" si="50"/>
        <v>220048</v>
      </c>
      <c r="L272" s="96">
        <f t="shared" si="50"/>
        <v>170181.33000000002</v>
      </c>
      <c r="M272" s="96">
        <f t="shared" si="50"/>
        <v>124848</v>
      </c>
      <c r="N272" s="96">
        <f t="shared" si="50"/>
        <v>124848</v>
      </c>
      <c r="O272" s="96">
        <f t="shared" si="50"/>
        <v>124848</v>
      </c>
      <c r="P272" s="96">
        <f t="shared" si="50"/>
        <v>124848</v>
      </c>
      <c r="Q272" s="96">
        <f t="shared" si="50"/>
        <v>124848</v>
      </c>
    </row>
    <row r="273" spans="1:17" x14ac:dyDescent="0.2">
      <c r="B273" s="65" t="s">
        <v>43</v>
      </c>
      <c r="C273" s="8">
        <f>C243</f>
        <v>22058.99</v>
      </c>
      <c r="D273" s="8">
        <f t="shared" ref="D273:Q273" si="51">D243</f>
        <v>22058.99</v>
      </c>
      <c r="E273" s="8">
        <f t="shared" si="51"/>
        <v>22058.99</v>
      </c>
      <c r="F273" s="8">
        <f t="shared" si="51"/>
        <v>22058.99</v>
      </c>
      <c r="G273" s="8">
        <f t="shared" si="51"/>
        <v>22058.99</v>
      </c>
      <c r="H273" s="8">
        <f t="shared" si="51"/>
        <v>22058.99</v>
      </c>
      <c r="I273" s="8">
        <f t="shared" si="51"/>
        <v>22058.99</v>
      </c>
      <c r="J273" s="8">
        <f t="shared" si="51"/>
        <v>22058.99</v>
      </c>
      <c r="K273" s="8">
        <f t="shared" si="51"/>
        <v>22058.99</v>
      </c>
      <c r="L273" s="8">
        <f t="shared" si="51"/>
        <v>22058.99</v>
      </c>
      <c r="M273" s="8">
        <f t="shared" si="51"/>
        <v>22058.99</v>
      </c>
      <c r="N273" s="8">
        <f t="shared" si="51"/>
        <v>22058.99</v>
      </c>
      <c r="O273" s="8">
        <f t="shared" si="51"/>
        <v>22058.99</v>
      </c>
      <c r="P273" s="8">
        <f t="shared" si="51"/>
        <v>22058.99</v>
      </c>
      <c r="Q273" s="8">
        <f t="shared" si="51"/>
        <v>22058.99</v>
      </c>
    </row>
    <row r="274" spans="1:17" x14ac:dyDescent="0.2">
      <c r="B274" s="62" t="s">
        <v>44</v>
      </c>
      <c r="C274" s="7">
        <f>C244</f>
        <v>1362.67</v>
      </c>
      <c r="D274" s="7">
        <f t="shared" ref="D274:Q274" si="52">D244</f>
        <v>1362.67</v>
      </c>
      <c r="E274" s="7">
        <f t="shared" si="52"/>
        <v>1362.67</v>
      </c>
      <c r="F274" s="7">
        <f t="shared" si="52"/>
        <v>1362.67</v>
      </c>
      <c r="G274" s="7">
        <f t="shared" si="52"/>
        <v>1362.67</v>
      </c>
      <c r="H274" s="7">
        <f t="shared" si="52"/>
        <v>1362.67</v>
      </c>
      <c r="I274" s="7">
        <f t="shared" si="52"/>
        <v>1362.67</v>
      </c>
      <c r="J274" s="7">
        <f t="shared" si="52"/>
        <v>1362.67</v>
      </c>
      <c r="K274" s="7">
        <f t="shared" si="52"/>
        <v>1362.67</v>
      </c>
      <c r="L274" s="7">
        <f t="shared" si="52"/>
        <v>1362.67</v>
      </c>
      <c r="M274" s="7">
        <f t="shared" si="52"/>
        <v>1362.67</v>
      </c>
      <c r="N274" s="7">
        <f t="shared" si="52"/>
        <v>1362.67</v>
      </c>
      <c r="O274" s="7">
        <f t="shared" si="52"/>
        <v>1362.67</v>
      </c>
      <c r="P274" s="7">
        <f t="shared" si="52"/>
        <v>1362.67</v>
      </c>
      <c r="Q274" s="7">
        <f t="shared" si="52"/>
        <v>1362.67</v>
      </c>
    </row>
    <row r="275" spans="1:17" x14ac:dyDescent="0.2">
      <c r="B275" s="62" t="s">
        <v>45</v>
      </c>
      <c r="C275" s="7">
        <f>C269+C270-C274</f>
        <v>24151.030000000195</v>
      </c>
      <c r="D275" s="7">
        <f t="shared" ref="D275:Q275" si="53">D269+D270-D274</f>
        <v>24151.030000000195</v>
      </c>
      <c r="E275" s="7">
        <f t="shared" si="53"/>
        <v>137503.03333333347</v>
      </c>
      <c r="F275" s="7">
        <f t="shared" si="53"/>
        <v>380179.0300000002</v>
      </c>
      <c r="G275" s="7">
        <f t="shared" si="53"/>
        <v>380179.0300000002</v>
      </c>
      <c r="H275" s="7">
        <f t="shared" si="53"/>
        <v>76729.030000000188</v>
      </c>
      <c r="I275" s="7">
        <f t="shared" si="53"/>
        <v>-96670.969999999812</v>
      </c>
      <c r="J275" s="7">
        <f t="shared" si="53"/>
        <v>-170337.63999999981</v>
      </c>
      <c r="K275" s="7">
        <f t="shared" si="53"/>
        <v>-207615.05249999985</v>
      </c>
      <c r="L275" s="7">
        <f t="shared" si="53"/>
        <v>-162148.39249999975</v>
      </c>
      <c r="M275" s="7">
        <f t="shared" si="53"/>
        <v>-120815.05249999983</v>
      </c>
      <c r="N275" s="7">
        <f t="shared" si="53"/>
        <v>-120815.05249999983</v>
      </c>
      <c r="O275" s="7">
        <f t="shared" si="53"/>
        <v>-120815.05249999983</v>
      </c>
      <c r="P275" s="7">
        <f t="shared" si="53"/>
        <v>-121259.13499999985</v>
      </c>
      <c r="Q275" s="7">
        <f t="shared" si="53"/>
        <v>-121259.13499999985</v>
      </c>
    </row>
    <row r="276" spans="1:17" x14ac:dyDescent="0.2">
      <c r="B276" s="62" t="s">
        <v>46</v>
      </c>
      <c r="C276" s="7">
        <f>C246</f>
        <v>8953.68</v>
      </c>
      <c r="D276" s="7">
        <f t="shared" ref="D276:Q276" si="54">D246</f>
        <v>8953.68</v>
      </c>
      <c r="E276" s="7">
        <f t="shared" si="54"/>
        <v>8953.68</v>
      </c>
      <c r="F276" s="7">
        <f t="shared" si="54"/>
        <v>8953.68</v>
      </c>
      <c r="G276" s="7">
        <f t="shared" si="54"/>
        <v>8953.68</v>
      </c>
      <c r="H276" s="7">
        <f t="shared" si="54"/>
        <v>8953.68</v>
      </c>
      <c r="I276" s="7">
        <f t="shared" si="54"/>
        <v>8953.68</v>
      </c>
      <c r="J276" s="7">
        <f t="shared" si="54"/>
        <v>8953.68</v>
      </c>
      <c r="K276" s="7">
        <f t="shared" si="54"/>
        <v>8953.68</v>
      </c>
      <c r="L276" s="7">
        <f t="shared" si="54"/>
        <v>8953.68</v>
      </c>
      <c r="M276" s="7">
        <f t="shared" si="54"/>
        <v>8953.68</v>
      </c>
      <c r="N276" s="7">
        <f t="shared" si="54"/>
        <v>8953.68</v>
      </c>
      <c r="O276" s="7">
        <f t="shared" si="54"/>
        <v>8953.68</v>
      </c>
      <c r="P276" s="7">
        <f t="shared" si="54"/>
        <v>8953.68</v>
      </c>
      <c r="Q276" s="7">
        <f t="shared" si="54"/>
        <v>8953.68</v>
      </c>
    </row>
    <row r="277" spans="1:17" x14ac:dyDescent="0.2">
      <c r="B277" s="62" t="s">
        <v>47</v>
      </c>
      <c r="C277" s="97">
        <f>C247+C223</f>
        <v>85306.09</v>
      </c>
      <c r="D277" s="97">
        <f t="shared" ref="D277:Q277" si="55">D247+D223</f>
        <v>75306.09</v>
      </c>
      <c r="E277" s="97">
        <f t="shared" si="55"/>
        <v>147806.09</v>
      </c>
      <c r="F277" s="97">
        <f t="shared" si="55"/>
        <v>170306.09</v>
      </c>
      <c r="G277" s="97">
        <f t="shared" si="55"/>
        <v>170306.09</v>
      </c>
      <c r="H277" s="97">
        <f t="shared" si="55"/>
        <v>162806.09</v>
      </c>
      <c r="I277" s="97">
        <f t="shared" si="55"/>
        <v>147806.09</v>
      </c>
      <c r="J277" s="97">
        <f t="shared" si="55"/>
        <v>132806.09</v>
      </c>
      <c r="K277" s="97">
        <f t="shared" si="55"/>
        <v>117806.09</v>
      </c>
      <c r="L277" s="97">
        <f t="shared" si="55"/>
        <v>102806.09</v>
      </c>
      <c r="M277" s="97">
        <f t="shared" si="55"/>
        <v>87806.09</v>
      </c>
      <c r="N277" s="97">
        <f t="shared" si="55"/>
        <v>72806.09</v>
      </c>
      <c r="O277" s="97">
        <f t="shared" si="55"/>
        <v>57806.09</v>
      </c>
      <c r="P277" s="97">
        <f t="shared" si="55"/>
        <v>42806.09</v>
      </c>
      <c r="Q277" s="97">
        <f t="shared" si="55"/>
        <v>27806.09</v>
      </c>
    </row>
    <row r="278" spans="1:17" x14ac:dyDescent="0.2">
      <c r="B278" s="62" t="s">
        <v>48</v>
      </c>
      <c r="C278" s="7">
        <f>C275+C276-C277</f>
        <v>-52201.379999999801</v>
      </c>
      <c r="D278" s="7">
        <f t="shared" ref="D278:Q278" si="56">D275+D276-D277</f>
        <v>-42201.379999999801</v>
      </c>
      <c r="E278" s="7">
        <f t="shared" si="56"/>
        <v>-1349.3766666665324</v>
      </c>
      <c r="F278" s="7">
        <f t="shared" si="56"/>
        <v>218826.6200000002</v>
      </c>
      <c r="G278" s="7">
        <f t="shared" si="56"/>
        <v>218826.6200000002</v>
      </c>
      <c r="H278" s="7">
        <f t="shared" si="56"/>
        <v>-77123.379999999801</v>
      </c>
      <c r="I278" s="7">
        <f t="shared" si="56"/>
        <v>-235523.3799999998</v>
      </c>
      <c r="J278" s="7">
        <f t="shared" si="56"/>
        <v>-294190.04999999981</v>
      </c>
      <c r="K278" s="7">
        <f t="shared" si="56"/>
        <v>-316467.46249999985</v>
      </c>
      <c r="L278" s="7">
        <f t="shared" si="56"/>
        <v>-256000.80249999976</v>
      </c>
      <c r="M278" s="7">
        <f t="shared" si="56"/>
        <v>-199667.46249999982</v>
      </c>
      <c r="N278" s="7">
        <f t="shared" si="56"/>
        <v>-184667.46249999982</v>
      </c>
      <c r="O278" s="7">
        <f t="shared" si="56"/>
        <v>-169667.46249999982</v>
      </c>
      <c r="P278" s="7">
        <f t="shared" si="56"/>
        <v>-155111.54499999984</v>
      </c>
      <c r="Q278" s="7">
        <f t="shared" si="56"/>
        <v>-140111.54499999984</v>
      </c>
    </row>
    <row r="279" spans="1:17" x14ac:dyDescent="0.2">
      <c r="B279" s="62" t="s">
        <v>49</v>
      </c>
      <c r="C279" s="7">
        <f>C249</f>
        <v>0</v>
      </c>
      <c r="D279" s="7">
        <f t="shared" ref="D279:Q279" si="57">D249</f>
        <v>0</v>
      </c>
      <c r="E279" s="7">
        <f t="shared" si="57"/>
        <v>0</v>
      </c>
      <c r="F279" s="7">
        <f t="shared" si="57"/>
        <v>0</v>
      </c>
      <c r="G279" s="7">
        <f t="shared" si="57"/>
        <v>0</v>
      </c>
      <c r="H279" s="7">
        <f t="shared" si="57"/>
        <v>0</v>
      </c>
      <c r="I279" s="7">
        <f t="shared" si="57"/>
        <v>0</v>
      </c>
      <c r="J279" s="7">
        <f t="shared" si="57"/>
        <v>0</v>
      </c>
      <c r="K279" s="7">
        <f t="shared" si="57"/>
        <v>0</v>
      </c>
      <c r="L279" s="7">
        <f t="shared" si="57"/>
        <v>0</v>
      </c>
      <c r="M279" s="7">
        <f t="shared" si="57"/>
        <v>0</v>
      </c>
      <c r="N279" s="7">
        <f t="shared" si="57"/>
        <v>0</v>
      </c>
      <c r="O279" s="7">
        <f t="shared" si="57"/>
        <v>0</v>
      </c>
      <c r="P279" s="7">
        <f t="shared" si="57"/>
        <v>0</v>
      </c>
      <c r="Q279" s="7">
        <f t="shared" si="57"/>
        <v>0</v>
      </c>
    </row>
    <row r="280" spans="1:17" x14ac:dyDescent="0.2">
      <c r="B280" s="62" t="s">
        <v>50</v>
      </c>
      <c r="C280" s="7">
        <f>C278+C279</f>
        <v>-52201.379999999801</v>
      </c>
      <c r="D280" s="7">
        <f t="shared" ref="D280:Q280" si="58">D278+D279</f>
        <v>-42201.379999999801</v>
      </c>
      <c r="E280" s="7">
        <f t="shared" si="58"/>
        <v>-1349.3766666665324</v>
      </c>
      <c r="F280" s="7">
        <f t="shared" si="58"/>
        <v>218826.6200000002</v>
      </c>
      <c r="G280" s="7">
        <f t="shared" si="58"/>
        <v>218826.6200000002</v>
      </c>
      <c r="H280" s="7">
        <f t="shared" si="58"/>
        <v>-77123.379999999801</v>
      </c>
      <c r="I280" s="7">
        <f t="shared" si="58"/>
        <v>-235523.3799999998</v>
      </c>
      <c r="J280" s="7">
        <f t="shared" si="58"/>
        <v>-294190.04999999981</v>
      </c>
      <c r="K280" s="7">
        <f t="shared" si="58"/>
        <v>-316467.46249999985</v>
      </c>
      <c r="L280" s="7">
        <f t="shared" si="58"/>
        <v>-256000.80249999976</v>
      </c>
      <c r="M280" s="7">
        <f t="shared" si="58"/>
        <v>-199667.46249999982</v>
      </c>
      <c r="N280" s="7">
        <f t="shared" si="58"/>
        <v>-184667.46249999982</v>
      </c>
      <c r="O280" s="7">
        <f t="shared" si="58"/>
        <v>-169667.46249999982</v>
      </c>
      <c r="P280" s="7">
        <f t="shared" si="58"/>
        <v>-155111.54499999984</v>
      </c>
      <c r="Q280" s="7">
        <f t="shared" si="58"/>
        <v>-140111.54499999984</v>
      </c>
    </row>
    <row r="281" spans="1:17" x14ac:dyDescent="0.2">
      <c r="B281" s="62" t="s">
        <v>51</v>
      </c>
      <c r="C281" s="152">
        <f>IF(C280&gt;0,19%*C280,0)</f>
        <v>0</v>
      </c>
      <c r="D281" s="152">
        <f t="shared" ref="D281:Q281" si="59">IF(D280&gt;0,19%*D280,0)</f>
        <v>0</v>
      </c>
      <c r="E281" s="152">
        <f t="shared" si="59"/>
        <v>0</v>
      </c>
      <c r="F281" s="152">
        <f t="shared" si="59"/>
        <v>41577.057800000039</v>
      </c>
      <c r="G281" s="152">
        <f t="shared" si="59"/>
        <v>41577.057800000039</v>
      </c>
      <c r="H281" s="152">
        <f t="shared" si="59"/>
        <v>0</v>
      </c>
      <c r="I281" s="152">
        <f t="shared" si="59"/>
        <v>0</v>
      </c>
      <c r="J281" s="152">
        <f t="shared" si="59"/>
        <v>0</v>
      </c>
      <c r="K281" s="152">
        <f t="shared" si="59"/>
        <v>0</v>
      </c>
      <c r="L281" s="152">
        <f t="shared" si="59"/>
        <v>0</v>
      </c>
      <c r="M281" s="152">
        <f t="shared" si="59"/>
        <v>0</v>
      </c>
      <c r="N281" s="152">
        <f t="shared" si="59"/>
        <v>0</v>
      </c>
      <c r="O281" s="152">
        <f t="shared" si="59"/>
        <v>0</v>
      </c>
      <c r="P281" s="152">
        <f t="shared" si="59"/>
        <v>0</v>
      </c>
      <c r="Q281" s="152">
        <f t="shared" si="59"/>
        <v>0</v>
      </c>
    </row>
    <row r="282" spans="1:17" x14ac:dyDescent="0.2">
      <c r="B282" s="67" t="s">
        <v>52</v>
      </c>
      <c r="C282" s="7">
        <f>C252</f>
        <v>0</v>
      </c>
      <c r="D282" s="7">
        <f t="shared" ref="D282:Q282" si="60">D252</f>
        <v>0</v>
      </c>
      <c r="E282" s="7">
        <f t="shared" si="60"/>
        <v>0</v>
      </c>
      <c r="F282" s="7">
        <f t="shared" si="60"/>
        <v>0</v>
      </c>
      <c r="G282" s="7">
        <f t="shared" si="60"/>
        <v>0</v>
      </c>
      <c r="H282" s="7">
        <f t="shared" si="60"/>
        <v>0</v>
      </c>
      <c r="I282" s="7">
        <f t="shared" si="60"/>
        <v>0</v>
      </c>
      <c r="J282" s="7">
        <f t="shared" si="60"/>
        <v>0</v>
      </c>
      <c r="K282" s="7">
        <f t="shared" si="60"/>
        <v>0</v>
      </c>
      <c r="L282" s="7">
        <f t="shared" si="60"/>
        <v>0</v>
      </c>
      <c r="M282" s="7">
        <f t="shared" si="60"/>
        <v>0</v>
      </c>
      <c r="N282" s="7">
        <f t="shared" si="60"/>
        <v>0</v>
      </c>
      <c r="O282" s="7">
        <f t="shared" si="60"/>
        <v>0</v>
      </c>
      <c r="P282" s="7">
        <f t="shared" si="60"/>
        <v>0</v>
      </c>
      <c r="Q282" s="7">
        <f t="shared" si="60"/>
        <v>0</v>
      </c>
    </row>
    <row r="283" spans="1:17" x14ac:dyDescent="0.2">
      <c r="B283" s="68" t="s">
        <v>53</v>
      </c>
      <c r="C283" s="69">
        <f>C280-C281-C282</f>
        <v>-52201.379999999801</v>
      </c>
      <c r="D283" s="69">
        <f t="shared" ref="D283:Q283" si="61">D280-D281-D282</f>
        <v>-42201.379999999801</v>
      </c>
      <c r="E283" s="69">
        <f t="shared" si="61"/>
        <v>-1349.3766666665324</v>
      </c>
      <c r="F283" s="69">
        <f t="shared" si="61"/>
        <v>177249.56220000016</v>
      </c>
      <c r="G283" s="69">
        <f t="shared" si="61"/>
        <v>177249.56220000016</v>
      </c>
      <c r="H283" s="69">
        <f t="shared" si="61"/>
        <v>-77123.379999999801</v>
      </c>
      <c r="I283" s="69">
        <f t="shared" si="61"/>
        <v>-235523.3799999998</v>
      </c>
      <c r="J283" s="69">
        <f t="shared" si="61"/>
        <v>-294190.04999999981</v>
      </c>
      <c r="K283" s="69">
        <f t="shared" si="61"/>
        <v>-316467.46249999985</v>
      </c>
      <c r="L283" s="69">
        <f t="shared" si="61"/>
        <v>-256000.80249999976</v>
      </c>
      <c r="M283" s="69">
        <f t="shared" si="61"/>
        <v>-199667.46249999982</v>
      </c>
      <c r="N283" s="69">
        <f t="shared" si="61"/>
        <v>-184667.46249999982</v>
      </c>
      <c r="O283" s="69">
        <f t="shared" si="61"/>
        <v>-169667.46249999982</v>
      </c>
      <c r="P283" s="69">
        <f t="shared" si="61"/>
        <v>-155111.54499999984</v>
      </c>
      <c r="Q283" s="70">
        <f t="shared" si="61"/>
        <v>-140111.54499999984</v>
      </c>
    </row>
    <row r="287" spans="1:17" x14ac:dyDescent="0.2">
      <c r="A287" s="6" t="s">
        <v>171</v>
      </c>
      <c r="B287" s="6" t="s">
        <v>94</v>
      </c>
    </row>
    <row r="288" spans="1:17" x14ac:dyDescent="0.2">
      <c r="B288" s="9" t="s">
        <v>56</v>
      </c>
      <c r="C288" s="126">
        <f t="shared" ref="C288:Q288" si="62">C$148</f>
        <v>2017</v>
      </c>
      <c r="D288" s="126">
        <f t="shared" si="62"/>
        <v>2018</v>
      </c>
      <c r="E288" s="126">
        <f t="shared" si="62"/>
        <v>2019</v>
      </c>
      <c r="F288" s="126">
        <f t="shared" si="62"/>
        <v>2020</v>
      </c>
      <c r="G288" s="126">
        <f t="shared" si="62"/>
        <v>2021</v>
      </c>
      <c r="H288" s="126">
        <f t="shared" si="62"/>
        <v>2022</v>
      </c>
      <c r="I288" s="126">
        <f t="shared" si="62"/>
        <v>2023</v>
      </c>
      <c r="J288" s="126">
        <f t="shared" si="62"/>
        <v>2024</v>
      </c>
      <c r="K288" s="126">
        <f t="shared" si="62"/>
        <v>2025</v>
      </c>
      <c r="L288" s="126">
        <f t="shared" si="62"/>
        <v>2026</v>
      </c>
      <c r="M288" s="126">
        <f t="shared" si="62"/>
        <v>2027</v>
      </c>
      <c r="N288" s="126">
        <f t="shared" si="62"/>
        <v>2028</v>
      </c>
      <c r="O288" s="126">
        <f t="shared" si="62"/>
        <v>2029</v>
      </c>
      <c r="P288" s="126">
        <f t="shared" si="62"/>
        <v>2030</v>
      </c>
      <c r="Q288" s="127">
        <f t="shared" si="62"/>
        <v>2031</v>
      </c>
    </row>
    <row r="289" spans="2:17" x14ac:dyDescent="0.2">
      <c r="B289" s="62" t="s">
        <v>29</v>
      </c>
      <c r="C289" s="98">
        <f>C259-C229</f>
        <v>0</v>
      </c>
      <c r="D289" s="98">
        <f t="shared" ref="D289:Q289" si="63">D259-D229</f>
        <v>0</v>
      </c>
      <c r="E289" s="98">
        <f t="shared" si="63"/>
        <v>50000</v>
      </c>
      <c r="F289" s="98">
        <f t="shared" si="63"/>
        <v>150000</v>
      </c>
      <c r="G289" s="98">
        <f t="shared" si="63"/>
        <v>150000</v>
      </c>
      <c r="H289" s="98">
        <f t="shared" si="63"/>
        <v>150000</v>
      </c>
      <c r="I289" s="98">
        <f t="shared" si="63"/>
        <v>150000</v>
      </c>
      <c r="J289" s="98">
        <f t="shared" si="63"/>
        <v>150000</v>
      </c>
      <c r="K289" s="98">
        <f t="shared" si="63"/>
        <v>150000</v>
      </c>
      <c r="L289" s="98">
        <f t="shared" si="63"/>
        <v>150000</v>
      </c>
      <c r="M289" s="98">
        <f t="shared" si="63"/>
        <v>150000</v>
      </c>
      <c r="N289" s="98">
        <f t="shared" si="63"/>
        <v>150000</v>
      </c>
      <c r="O289" s="98">
        <f t="shared" si="63"/>
        <v>150000</v>
      </c>
      <c r="P289" s="98">
        <f t="shared" si="63"/>
        <v>150000</v>
      </c>
      <c r="Q289" s="98">
        <f t="shared" si="63"/>
        <v>150000</v>
      </c>
    </row>
    <row r="290" spans="2:17" x14ac:dyDescent="0.2">
      <c r="B290" s="62" t="s">
        <v>30</v>
      </c>
      <c r="C290" s="7">
        <f t="shared" ref="C290:Q290" si="64">C260-C230</f>
        <v>0</v>
      </c>
      <c r="D290" s="7">
        <f t="shared" ref="D290:Q290" si="65">D260-D230</f>
        <v>0</v>
      </c>
      <c r="E290" s="7">
        <f t="shared" si="65"/>
        <v>474913.33000000007</v>
      </c>
      <c r="F290" s="7">
        <f t="shared" si="65"/>
        <v>601370</v>
      </c>
      <c r="G290" s="7">
        <f t="shared" si="65"/>
        <v>601370</v>
      </c>
      <c r="H290" s="7">
        <f t="shared" si="65"/>
        <v>601370</v>
      </c>
      <c r="I290" s="7">
        <f t="shared" si="65"/>
        <v>601370</v>
      </c>
      <c r="J290" s="7">
        <f t="shared" si="65"/>
        <v>601370</v>
      </c>
      <c r="K290" s="7">
        <f t="shared" si="65"/>
        <v>601814.08250000002</v>
      </c>
      <c r="L290" s="7">
        <f t="shared" si="65"/>
        <v>506480.75249999994</v>
      </c>
      <c r="M290" s="7">
        <f t="shared" si="65"/>
        <v>419814.08250000002</v>
      </c>
      <c r="N290" s="7">
        <f t="shared" si="65"/>
        <v>419814.08250000002</v>
      </c>
      <c r="O290" s="7">
        <f t="shared" si="65"/>
        <v>419814.08250000002</v>
      </c>
      <c r="P290" s="7">
        <f t="shared" si="65"/>
        <v>420258.16500000004</v>
      </c>
      <c r="Q290" s="7">
        <f t="shared" si="65"/>
        <v>420258.16500000004</v>
      </c>
    </row>
    <row r="291" spans="2:17" x14ac:dyDescent="0.2">
      <c r="B291" s="65" t="s">
        <v>31</v>
      </c>
      <c r="C291" s="8">
        <f t="shared" ref="C291:Q298" si="66">C261-C231</f>
        <v>0</v>
      </c>
      <c r="D291" s="8">
        <f t="shared" si="66"/>
        <v>0</v>
      </c>
      <c r="E291" s="8">
        <f t="shared" si="66"/>
        <v>252913.33</v>
      </c>
      <c r="F291" s="8">
        <f t="shared" si="66"/>
        <v>379370</v>
      </c>
      <c r="G291" s="8">
        <f t="shared" si="66"/>
        <v>379370</v>
      </c>
      <c r="H291" s="8">
        <f t="shared" si="66"/>
        <v>379370</v>
      </c>
      <c r="I291" s="8">
        <f t="shared" si="66"/>
        <v>379370</v>
      </c>
      <c r="J291" s="8">
        <f t="shared" si="66"/>
        <v>379370</v>
      </c>
      <c r="K291" s="8">
        <f t="shared" si="66"/>
        <v>379814.08250000002</v>
      </c>
      <c r="L291" s="8">
        <f t="shared" si="66"/>
        <v>284480.75249999994</v>
      </c>
      <c r="M291" s="8">
        <f t="shared" si="66"/>
        <v>197814.08249999999</v>
      </c>
      <c r="N291" s="8">
        <f t="shared" si="66"/>
        <v>197814.08249999999</v>
      </c>
      <c r="O291" s="8">
        <f t="shared" si="66"/>
        <v>197814.08249999999</v>
      </c>
      <c r="P291" s="8">
        <f t="shared" si="66"/>
        <v>198258.16500000001</v>
      </c>
      <c r="Q291" s="8">
        <f t="shared" si="66"/>
        <v>198258.16500000001</v>
      </c>
    </row>
    <row r="292" spans="2:17" x14ac:dyDescent="0.2">
      <c r="B292" s="65" t="s">
        <v>32</v>
      </c>
      <c r="C292" s="8">
        <f t="shared" si="66"/>
        <v>0</v>
      </c>
      <c r="D292" s="8">
        <f t="shared" si="66"/>
        <v>0</v>
      </c>
      <c r="E292" s="8">
        <f t="shared" si="66"/>
        <v>20000</v>
      </c>
      <c r="F292" s="8">
        <f t="shared" si="66"/>
        <v>20000</v>
      </c>
      <c r="G292" s="8">
        <f t="shared" si="66"/>
        <v>20000</v>
      </c>
      <c r="H292" s="8">
        <f t="shared" si="66"/>
        <v>20000</v>
      </c>
      <c r="I292" s="8">
        <f t="shared" si="66"/>
        <v>20000</v>
      </c>
      <c r="J292" s="8">
        <f t="shared" si="66"/>
        <v>20000</v>
      </c>
      <c r="K292" s="8">
        <f t="shared" si="66"/>
        <v>20000</v>
      </c>
      <c r="L292" s="8">
        <f t="shared" si="66"/>
        <v>20000</v>
      </c>
      <c r="M292" s="8">
        <f t="shared" si="66"/>
        <v>20000</v>
      </c>
      <c r="N292" s="8">
        <f t="shared" si="66"/>
        <v>20000</v>
      </c>
      <c r="O292" s="8">
        <f t="shared" si="66"/>
        <v>20000</v>
      </c>
      <c r="P292" s="8">
        <f t="shared" si="66"/>
        <v>20000</v>
      </c>
      <c r="Q292" s="8">
        <f t="shared" si="66"/>
        <v>20000</v>
      </c>
    </row>
    <row r="293" spans="2:17" x14ac:dyDescent="0.2">
      <c r="B293" s="65" t="s">
        <v>33</v>
      </c>
      <c r="C293" s="8">
        <f t="shared" si="66"/>
        <v>0</v>
      </c>
      <c r="D293" s="8">
        <f t="shared" si="66"/>
        <v>0</v>
      </c>
      <c r="E293" s="8">
        <f t="shared" si="66"/>
        <v>15000</v>
      </c>
      <c r="F293" s="8">
        <f t="shared" si="66"/>
        <v>15000</v>
      </c>
      <c r="G293" s="8">
        <f t="shared" si="66"/>
        <v>15000</v>
      </c>
      <c r="H293" s="8">
        <f t="shared" si="66"/>
        <v>15000</v>
      </c>
      <c r="I293" s="8">
        <f t="shared" si="66"/>
        <v>15000</v>
      </c>
      <c r="J293" s="8">
        <f t="shared" si="66"/>
        <v>15000</v>
      </c>
      <c r="K293" s="8">
        <f t="shared" si="66"/>
        <v>15000</v>
      </c>
      <c r="L293" s="8">
        <f t="shared" si="66"/>
        <v>15000</v>
      </c>
      <c r="M293" s="8">
        <f t="shared" si="66"/>
        <v>15000</v>
      </c>
      <c r="N293" s="8">
        <f t="shared" si="66"/>
        <v>15000</v>
      </c>
      <c r="O293" s="8">
        <f t="shared" si="66"/>
        <v>15000</v>
      </c>
      <c r="P293" s="8">
        <f t="shared" si="66"/>
        <v>15000</v>
      </c>
      <c r="Q293" s="8">
        <f t="shared" si="66"/>
        <v>15000</v>
      </c>
    </row>
    <row r="294" spans="2:17" x14ac:dyDescent="0.2">
      <c r="B294" s="65" t="s">
        <v>34</v>
      </c>
      <c r="C294" s="8">
        <f t="shared" si="66"/>
        <v>0</v>
      </c>
      <c r="D294" s="8">
        <f t="shared" si="66"/>
        <v>0</v>
      </c>
      <c r="E294" s="8">
        <f t="shared" si="66"/>
        <v>5000</v>
      </c>
      <c r="F294" s="8">
        <f t="shared" si="66"/>
        <v>5000</v>
      </c>
      <c r="G294" s="8">
        <f t="shared" si="66"/>
        <v>5000</v>
      </c>
      <c r="H294" s="8">
        <f t="shared" si="66"/>
        <v>5000</v>
      </c>
      <c r="I294" s="8">
        <f t="shared" si="66"/>
        <v>5000</v>
      </c>
      <c r="J294" s="8">
        <f t="shared" si="66"/>
        <v>5000</v>
      </c>
      <c r="K294" s="8">
        <f t="shared" si="66"/>
        <v>5000</v>
      </c>
      <c r="L294" s="8">
        <f t="shared" si="66"/>
        <v>5000</v>
      </c>
      <c r="M294" s="8">
        <f t="shared" si="66"/>
        <v>5000</v>
      </c>
      <c r="N294" s="8">
        <f t="shared" si="66"/>
        <v>5000</v>
      </c>
      <c r="O294" s="8">
        <f t="shared" si="66"/>
        <v>5000</v>
      </c>
      <c r="P294" s="8">
        <f t="shared" si="66"/>
        <v>5000</v>
      </c>
      <c r="Q294" s="8">
        <f t="shared" si="66"/>
        <v>5000</v>
      </c>
    </row>
    <row r="295" spans="2:17" x14ac:dyDescent="0.2">
      <c r="B295" s="65" t="s">
        <v>35</v>
      </c>
      <c r="C295" s="8">
        <f t="shared" si="66"/>
        <v>0</v>
      </c>
      <c r="D295" s="8">
        <f t="shared" si="66"/>
        <v>0</v>
      </c>
      <c r="E295" s="8">
        <f t="shared" si="66"/>
        <v>150000</v>
      </c>
      <c r="F295" s="8">
        <f t="shared" si="66"/>
        <v>150000</v>
      </c>
      <c r="G295" s="8">
        <f t="shared" si="66"/>
        <v>150000</v>
      </c>
      <c r="H295" s="8">
        <f t="shared" si="66"/>
        <v>150000</v>
      </c>
      <c r="I295" s="8">
        <f t="shared" si="66"/>
        <v>150000</v>
      </c>
      <c r="J295" s="8">
        <f t="shared" si="66"/>
        <v>150000</v>
      </c>
      <c r="K295" s="8">
        <f t="shared" si="66"/>
        <v>150000</v>
      </c>
      <c r="L295" s="8">
        <f t="shared" si="66"/>
        <v>150000</v>
      </c>
      <c r="M295" s="8">
        <f t="shared" si="66"/>
        <v>150000</v>
      </c>
      <c r="N295" s="8">
        <f t="shared" si="66"/>
        <v>150000</v>
      </c>
      <c r="O295" s="8">
        <f t="shared" si="66"/>
        <v>150000</v>
      </c>
      <c r="P295" s="8">
        <f t="shared" si="66"/>
        <v>150000</v>
      </c>
      <c r="Q295" s="8">
        <f t="shared" si="66"/>
        <v>150000</v>
      </c>
    </row>
    <row r="296" spans="2:17" x14ac:dyDescent="0.2">
      <c r="B296" s="65" t="s">
        <v>36</v>
      </c>
      <c r="C296" s="8">
        <f t="shared" si="66"/>
        <v>0</v>
      </c>
      <c r="D296" s="8">
        <f t="shared" si="66"/>
        <v>0</v>
      </c>
      <c r="E296" s="8">
        <f t="shared" si="66"/>
        <v>31500</v>
      </c>
      <c r="F296" s="8">
        <f t="shared" si="66"/>
        <v>31500</v>
      </c>
      <c r="G296" s="8">
        <f t="shared" si="66"/>
        <v>31500</v>
      </c>
      <c r="H296" s="8">
        <f t="shared" si="66"/>
        <v>31500</v>
      </c>
      <c r="I296" s="8">
        <f t="shared" si="66"/>
        <v>31500</v>
      </c>
      <c r="J296" s="8">
        <f t="shared" si="66"/>
        <v>31500</v>
      </c>
      <c r="K296" s="8">
        <f t="shared" si="66"/>
        <v>31500</v>
      </c>
      <c r="L296" s="8">
        <f t="shared" si="66"/>
        <v>31500</v>
      </c>
      <c r="M296" s="8">
        <f t="shared" si="66"/>
        <v>31500</v>
      </c>
      <c r="N296" s="8">
        <f t="shared" si="66"/>
        <v>31500</v>
      </c>
      <c r="O296" s="8">
        <f t="shared" si="66"/>
        <v>31500</v>
      </c>
      <c r="P296" s="8">
        <f t="shared" si="66"/>
        <v>31500</v>
      </c>
      <c r="Q296" s="8">
        <f t="shared" si="66"/>
        <v>31500</v>
      </c>
    </row>
    <row r="297" spans="2:17" x14ac:dyDescent="0.2">
      <c r="B297" s="65" t="s">
        <v>37</v>
      </c>
      <c r="C297" s="8">
        <f t="shared" si="66"/>
        <v>0</v>
      </c>
      <c r="D297" s="8">
        <f t="shared" si="66"/>
        <v>0</v>
      </c>
      <c r="E297" s="8">
        <f t="shared" si="66"/>
        <v>500</v>
      </c>
      <c r="F297" s="8">
        <f t="shared" si="66"/>
        <v>500</v>
      </c>
      <c r="G297" s="8">
        <f t="shared" si="66"/>
        <v>500</v>
      </c>
      <c r="H297" s="8">
        <f t="shared" si="66"/>
        <v>500</v>
      </c>
      <c r="I297" s="8">
        <f t="shared" si="66"/>
        <v>500</v>
      </c>
      <c r="J297" s="8">
        <f t="shared" si="66"/>
        <v>500</v>
      </c>
      <c r="K297" s="8">
        <f t="shared" si="66"/>
        <v>500</v>
      </c>
      <c r="L297" s="8">
        <f t="shared" si="66"/>
        <v>500</v>
      </c>
      <c r="M297" s="8">
        <f t="shared" si="66"/>
        <v>500</v>
      </c>
      <c r="N297" s="8">
        <f t="shared" si="66"/>
        <v>500</v>
      </c>
      <c r="O297" s="8">
        <f t="shared" si="66"/>
        <v>500</v>
      </c>
      <c r="P297" s="8">
        <f t="shared" si="66"/>
        <v>500</v>
      </c>
      <c r="Q297" s="8">
        <f t="shared" si="66"/>
        <v>500</v>
      </c>
    </row>
    <row r="298" spans="2:17" x14ac:dyDescent="0.2">
      <c r="B298" s="65" t="s">
        <v>38</v>
      </c>
      <c r="C298" s="8">
        <f t="shared" si="66"/>
        <v>0</v>
      </c>
      <c r="D298" s="8">
        <f t="shared" si="66"/>
        <v>0</v>
      </c>
      <c r="E298" s="8">
        <f t="shared" si="66"/>
        <v>0</v>
      </c>
      <c r="F298" s="8">
        <f t="shared" si="66"/>
        <v>0</v>
      </c>
      <c r="G298" s="8">
        <f t="shared" si="66"/>
        <v>0</v>
      </c>
      <c r="H298" s="8">
        <f t="shared" si="66"/>
        <v>0</v>
      </c>
      <c r="I298" s="8">
        <f t="shared" si="66"/>
        <v>0</v>
      </c>
      <c r="J298" s="8">
        <f t="shared" si="66"/>
        <v>0</v>
      </c>
      <c r="K298" s="8">
        <f t="shared" si="66"/>
        <v>0</v>
      </c>
      <c r="L298" s="8">
        <f t="shared" si="66"/>
        <v>0</v>
      </c>
      <c r="M298" s="8">
        <f t="shared" si="66"/>
        <v>0</v>
      </c>
      <c r="N298" s="8">
        <f t="shared" si="66"/>
        <v>0</v>
      </c>
      <c r="O298" s="8">
        <f t="shared" si="66"/>
        <v>0</v>
      </c>
      <c r="P298" s="8">
        <f t="shared" si="66"/>
        <v>0</v>
      </c>
      <c r="Q298" s="8">
        <f t="shared" si="66"/>
        <v>0</v>
      </c>
    </row>
    <row r="299" spans="2:17" x14ac:dyDescent="0.2">
      <c r="B299" s="62" t="s">
        <v>39</v>
      </c>
      <c r="C299" s="7">
        <f>C269-C239</f>
        <v>0</v>
      </c>
      <c r="D299" s="7">
        <f t="shared" ref="D299:Q299" si="67">D269-D239</f>
        <v>0</v>
      </c>
      <c r="E299" s="7">
        <f t="shared" si="67"/>
        <v>-424913.33000000007</v>
      </c>
      <c r="F299" s="7">
        <f t="shared" si="67"/>
        <v>-451370</v>
      </c>
      <c r="G299" s="7">
        <f t="shared" si="67"/>
        <v>-451370</v>
      </c>
      <c r="H299" s="7">
        <f t="shared" si="67"/>
        <v>-451370</v>
      </c>
      <c r="I299" s="7">
        <f t="shared" si="67"/>
        <v>-451370</v>
      </c>
      <c r="J299" s="7">
        <f t="shared" si="67"/>
        <v>-451370</v>
      </c>
      <c r="K299" s="7">
        <f t="shared" si="67"/>
        <v>-451814.08250000002</v>
      </c>
      <c r="L299" s="7">
        <f t="shared" si="67"/>
        <v>-356480.75249999994</v>
      </c>
      <c r="M299" s="7">
        <f t="shared" si="67"/>
        <v>-269814.08250000002</v>
      </c>
      <c r="N299" s="7">
        <f t="shared" si="67"/>
        <v>-269814.08250000002</v>
      </c>
      <c r="O299" s="7">
        <f t="shared" si="67"/>
        <v>-269814.08250000002</v>
      </c>
      <c r="P299" s="7">
        <f t="shared" si="67"/>
        <v>-270258.16500000004</v>
      </c>
      <c r="Q299" s="7">
        <f t="shared" si="67"/>
        <v>-270258.16500000004</v>
      </c>
    </row>
    <row r="300" spans="2:17" x14ac:dyDescent="0.2">
      <c r="B300" s="62" t="s">
        <v>40</v>
      </c>
      <c r="C300" s="7">
        <f>C270-C240</f>
        <v>0</v>
      </c>
      <c r="D300" s="7">
        <f t="shared" ref="D300:Q300" si="68">D270-D240</f>
        <v>0</v>
      </c>
      <c r="E300" s="7">
        <f t="shared" si="68"/>
        <v>538265.33333333337</v>
      </c>
      <c r="F300" s="7">
        <f t="shared" si="68"/>
        <v>807398</v>
      </c>
      <c r="G300" s="7">
        <f t="shared" si="68"/>
        <v>807398</v>
      </c>
      <c r="H300" s="7">
        <f t="shared" si="68"/>
        <v>503948</v>
      </c>
      <c r="I300" s="7">
        <f t="shared" si="68"/>
        <v>330548</v>
      </c>
      <c r="J300" s="7">
        <f t="shared" si="68"/>
        <v>256881.33000000002</v>
      </c>
      <c r="K300" s="7">
        <f t="shared" si="68"/>
        <v>220048</v>
      </c>
      <c r="L300" s="7">
        <f t="shared" si="68"/>
        <v>170181.33000000002</v>
      </c>
      <c r="M300" s="7">
        <f t="shared" si="68"/>
        <v>124847.99999999999</v>
      </c>
      <c r="N300" s="7">
        <f t="shared" si="68"/>
        <v>124847.99999999999</v>
      </c>
      <c r="O300" s="7">
        <f t="shared" si="68"/>
        <v>124847.99999999999</v>
      </c>
      <c r="P300" s="7">
        <f t="shared" si="68"/>
        <v>124847.99999999999</v>
      </c>
      <c r="Q300" s="7">
        <f t="shared" si="68"/>
        <v>124847.99999999999</v>
      </c>
    </row>
    <row r="301" spans="2:17" x14ac:dyDescent="0.2">
      <c r="B301" s="65" t="s">
        <v>41</v>
      </c>
      <c r="C301" s="8">
        <f t="shared" ref="C301:Q304" si="69">C271-C241</f>
        <v>0</v>
      </c>
      <c r="D301" s="8">
        <f t="shared" si="69"/>
        <v>0</v>
      </c>
      <c r="E301" s="8">
        <f t="shared" si="69"/>
        <v>0</v>
      </c>
      <c r="F301" s="8">
        <f t="shared" si="69"/>
        <v>0</v>
      </c>
      <c r="G301" s="8">
        <f t="shared" si="69"/>
        <v>0</v>
      </c>
      <c r="H301" s="8">
        <f t="shared" si="69"/>
        <v>0</v>
      </c>
      <c r="I301" s="8">
        <f t="shared" si="69"/>
        <v>0</v>
      </c>
      <c r="J301" s="8">
        <f t="shared" si="69"/>
        <v>0</v>
      </c>
      <c r="K301" s="8">
        <f t="shared" si="69"/>
        <v>0</v>
      </c>
      <c r="L301" s="8">
        <f t="shared" si="69"/>
        <v>0</v>
      </c>
      <c r="M301" s="8">
        <f t="shared" si="69"/>
        <v>0</v>
      </c>
      <c r="N301" s="8">
        <f t="shared" si="69"/>
        <v>0</v>
      </c>
      <c r="O301" s="8">
        <f t="shared" si="69"/>
        <v>0</v>
      </c>
      <c r="P301" s="8">
        <f t="shared" si="69"/>
        <v>0</v>
      </c>
      <c r="Q301" s="8">
        <f t="shared" si="69"/>
        <v>0</v>
      </c>
    </row>
    <row r="302" spans="2:17" x14ac:dyDescent="0.2">
      <c r="B302" s="65" t="s">
        <v>42</v>
      </c>
      <c r="C302" s="8">
        <f t="shared" si="69"/>
        <v>0</v>
      </c>
      <c r="D302" s="8">
        <f t="shared" si="69"/>
        <v>0</v>
      </c>
      <c r="E302" s="8">
        <f t="shared" si="69"/>
        <v>538265.33333333337</v>
      </c>
      <c r="F302" s="8">
        <f t="shared" si="69"/>
        <v>807398</v>
      </c>
      <c r="G302" s="8">
        <f t="shared" si="69"/>
        <v>807398</v>
      </c>
      <c r="H302" s="8">
        <f t="shared" si="69"/>
        <v>503948</v>
      </c>
      <c r="I302" s="8">
        <f t="shared" si="69"/>
        <v>330548</v>
      </c>
      <c r="J302" s="8">
        <f t="shared" si="69"/>
        <v>256881.33000000002</v>
      </c>
      <c r="K302" s="8">
        <f t="shared" si="69"/>
        <v>220048</v>
      </c>
      <c r="L302" s="8">
        <f t="shared" si="69"/>
        <v>170181.33000000002</v>
      </c>
      <c r="M302" s="8">
        <f t="shared" si="69"/>
        <v>124848</v>
      </c>
      <c r="N302" s="8">
        <f t="shared" si="69"/>
        <v>124848</v>
      </c>
      <c r="O302" s="8">
        <f t="shared" si="69"/>
        <v>124848</v>
      </c>
      <c r="P302" s="8">
        <f t="shared" si="69"/>
        <v>124848</v>
      </c>
      <c r="Q302" s="8">
        <f t="shared" si="69"/>
        <v>124848</v>
      </c>
    </row>
    <row r="303" spans="2:17" x14ac:dyDescent="0.2">
      <c r="B303" s="65" t="s">
        <v>43</v>
      </c>
      <c r="C303" s="8">
        <f t="shared" si="69"/>
        <v>0</v>
      </c>
      <c r="D303" s="8">
        <f t="shared" si="69"/>
        <v>0</v>
      </c>
      <c r="E303" s="8">
        <f t="shared" si="69"/>
        <v>0</v>
      </c>
      <c r="F303" s="8">
        <f t="shared" si="69"/>
        <v>0</v>
      </c>
      <c r="G303" s="8">
        <f t="shared" si="69"/>
        <v>0</v>
      </c>
      <c r="H303" s="8">
        <f t="shared" si="69"/>
        <v>0</v>
      </c>
      <c r="I303" s="8">
        <f t="shared" si="69"/>
        <v>0</v>
      </c>
      <c r="J303" s="8">
        <f t="shared" si="69"/>
        <v>0</v>
      </c>
      <c r="K303" s="8">
        <f t="shared" si="69"/>
        <v>0</v>
      </c>
      <c r="L303" s="8">
        <f t="shared" si="69"/>
        <v>0</v>
      </c>
      <c r="M303" s="8">
        <f t="shared" si="69"/>
        <v>0</v>
      </c>
      <c r="N303" s="8">
        <f t="shared" si="69"/>
        <v>0</v>
      </c>
      <c r="O303" s="8">
        <f t="shared" si="69"/>
        <v>0</v>
      </c>
      <c r="P303" s="8">
        <f t="shared" si="69"/>
        <v>0</v>
      </c>
      <c r="Q303" s="8">
        <f t="shared" si="69"/>
        <v>0</v>
      </c>
    </row>
    <row r="304" spans="2:17" x14ac:dyDescent="0.2">
      <c r="B304" s="62" t="s">
        <v>44</v>
      </c>
      <c r="C304" s="7">
        <f t="shared" si="69"/>
        <v>0</v>
      </c>
      <c r="D304" s="7">
        <f t="shared" si="69"/>
        <v>0</v>
      </c>
      <c r="E304" s="7">
        <f t="shared" si="69"/>
        <v>0</v>
      </c>
      <c r="F304" s="7">
        <f t="shared" si="69"/>
        <v>0</v>
      </c>
      <c r="G304" s="7">
        <f t="shared" si="69"/>
        <v>0</v>
      </c>
      <c r="H304" s="7">
        <f t="shared" si="69"/>
        <v>0</v>
      </c>
      <c r="I304" s="7">
        <f t="shared" si="69"/>
        <v>0</v>
      </c>
      <c r="J304" s="7">
        <f t="shared" si="69"/>
        <v>0</v>
      </c>
      <c r="K304" s="7">
        <f t="shared" si="69"/>
        <v>0</v>
      </c>
      <c r="L304" s="7">
        <f t="shared" si="69"/>
        <v>0</v>
      </c>
      <c r="M304" s="7">
        <f t="shared" si="69"/>
        <v>0</v>
      </c>
      <c r="N304" s="7">
        <f t="shared" si="69"/>
        <v>0</v>
      </c>
      <c r="O304" s="7">
        <f t="shared" si="69"/>
        <v>0</v>
      </c>
      <c r="P304" s="7">
        <f t="shared" si="69"/>
        <v>0</v>
      </c>
      <c r="Q304" s="7">
        <f t="shared" si="69"/>
        <v>0</v>
      </c>
    </row>
    <row r="305" spans="1:17" x14ac:dyDescent="0.2">
      <c r="B305" s="62" t="s">
        <v>45</v>
      </c>
      <c r="C305" s="7">
        <f t="shared" ref="C305:Q305" si="70">C275-C245</f>
        <v>0</v>
      </c>
      <c r="D305" s="7">
        <f t="shared" ref="D305:Q305" si="71">D275-D245</f>
        <v>0</v>
      </c>
      <c r="E305" s="7">
        <f t="shared" si="71"/>
        <v>113352.00333333327</v>
      </c>
      <c r="F305" s="7">
        <f t="shared" si="71"/>
        <v>356028</v>
      </c>
      <c r="G305" s="7">
        <f t="shared" si="71"/>
        <v>356028</v>
      </c>
      <c r="H305" s="7">
        <f t="shared" si="71"/>
        <v>52577.999999999993</v>
      </c>
      <c r="I305" s="7">
        <f t="shared" si="71"/>
        <v>-120822</v>
      </c>
      <c r="J305" s="7">
        <f t="shared" si="71"/>
        <v>-194488.67</v>
      </c>
      <c r="K305" s="7">
        <f t="shared" si="71"/>
        <v>-231766.08250000005</v>
      </c>
      <c r="L305" s="7">
        <f t="shared" si="71"/>
        <v>-186299.42249999996</v>
      </c>
      <c r="M305" s="7">
        <f t="shared" si="71"/>
        <v>-144966.08250000002</v>
      </c>
      <c r="N305" s="7">
        <f t="shared" si="71"/>
        <v>-144966.08250000002</v>
      </c>
      <c r="O305" s="7">
        <f t="shared" si="71"/>
        <v>-144966.08250000002</v>
      </c>
      <c r="P305" s="7">
        <f t="shared" si="71"/>
        <v>-145410.16500000004</v>
      </c>
      <c r="Q305" s="7">
        <f t="shared" si="71"/>
        <v>-145410.16500000004</v>
      </c>
    </row>
    <row r="306" spans="1:17" x14ac:dyDescent="0.2">
      <c r="B306" s="62" t="s">
        <v>46</v>
      </c>
      <c r="C306" s="7">
        <f t="shared" ref="C306:Q307" si="72">C276-C246</f>
        <v>0</v>
      </c>
      <c r="D306" s="7">
        <f t="shared" si="72"/>
        <v>0</v>
      </c>
      <c r="E306" s="7">
        <f t="shared" si="72"/>
        <v>0</v>
      </c>
      <c r="F306" s="7">
        <f t="shared" si="72"/>
        <v>0</v>
      </c>
      <c r="G306" s="7">
        <f t="shared" si="72"/>
        <v>0</v>
      </c>
      <c r="H306" s="7">
        <f t="shared" si="72"/>
        <v>0</v>
      </c>
      <c r="I306" s="7">
        <f t="shared" si="72"/>
        <v>0</v>
      </c>
      <c r="J306" s="7">
        <f t="shared" si="72"/>
        <v>0</v>
      </c>
      <c r="K306" s="7">
        <f t="shared" si="72"/>
        <v>0</v>
      </c>
      <c r="L306" s="7">
        <f t="shared" si="72"/>
        <v>0</v>
      </c>
      <c r="M306" s="7">
        <f t="shared" si="72"/>
        <v>0</v>
      </c>
      <c r="N306" s="7">
        <f t="shared" si="72"/>
        <v>0</v>
      </c>
      <c r="O306" s="7">
        <f t="shared" si="72"/>
        <v>0</v>
      </c>
      <c r="P306" s="7">
        <f t="shared" si="72"/>
        <v>0</v>
      </c>
      <c r="Q306" s="7">
        <f t="shared" si="72"/>
        <v>0</v>
      </c>
    </row>
    <row r="307" spans="1:17" x14ac:dyDescent="0.2">
      <c r="B307" s="62" t="s">
        <v>47</v>
      </c>
      <c r="C307" s="7">
        <f t="shared" si="72"/>
        <v>65000</v>
      </c>
      <c r="D307" s="7">
        <f t="shared" si="72"/>
        <v>55000</v>
      </c>
      <c r="E307" s="7">
        <f t="shared" si="72"/>
        <v>127500</v>
      </c>
      <c r="F307" s="7">
        <f t="shared" si="72"/>
        <v>150000</v>
      </c>
      <c r="G307" s="7">
        <f t="shared" si="72"/>
        <v>150000</v>
      </c>
      <c r="H307" s="7">
        <f t="shared" si="72"/>
        <v>142500</v>
      </c>
      <c r="I307" s="7">
        <f t="shared" si="72"/>
        <v>127500</v>
      </c>
      <c r="J307" s="7">
        <f t="shared" si="72"/>
        <v>112500</v>
      </c>
      <c r="K307" s="7">
        <f t="shared" si="72"/>
        <v>97500</v>
      </c>
      <c r="L307" s="7">
        <f t="shared" si="72"/>
        <v>82500</v>
      </c>
      <c r="M307" s="7">
        <f t="shared" si="72"/>
        <v>67500</v>
      </c>
      <c r="N307" s="7">
        <f t="shared" si="72"/>
        <v>52500</v>
      </c>
      <c r="O307" s="7">
        <f t="shared" si="72"/>
        <v>37500</v>
      </c>
      <c r="P307" s="7">
        <f t="shared" si="72"/>
        <v>22499.999999999996</v>
      </c>
      <c r="Q307" s="7">
        <f t="shared" si="72"/>
        <v>7500</v>
      </c>
    </row>
    <row r="308" spans="1:17" x14ac:dyDescent="0.2">
      <c r="B308" s="62" t="s">
        <v>48</v>
      </c>
      <c r="C308" s="7">
        <f t="shared" ref="C308:Q308" si="73">C278-C248</f>
        <v>-65000</v>
      </c>
      <c r="D308" s="7">
        <f t="shared" ref="D308:Q308" si="74">D278-D248</f>
        <v>-55000</v>
      </c>
      <c r="E308" s="7">
        <f t="shared" si="74"/>
        <v>-14147.996666666728</v>
      </c>
      <c r="F308" s="7">
        <f t="shared" si="74"/>
        <v>206028</v>
      </c>
      <c r="G308" s="7">
        <f t="shared" si="74"/>
        <v>206028</v>
      </c>
      <c r="H308" s="7">
        <f t="shared" si="74"/>
        <v>-89922</v>
      </c>
      <c r="I308" s="7">
        <f t="shared" si="74"/>
        <v>-248322</v>
      </c>
      <c r="J308" s="7">
        <f t="shared" si="74"/>
        <v>-306988.67</v>
      </c>
      <c r="K308" s="7">
        <f t="shared" si="74"/>
        <v>-329266.08250000002</v>
      </c>
      <c r="L308" s="7">
        <f t="shared" si="74"/>
        <v>-268799.42249999993</v>
      </c>
      <c r="M308" s="7">
        <f t="shared" si="74"/>
        <v>-212466.08250000002</v>
      </c>
      <c r="N308" s="7">
        <f t="shared" si="74"/>
        <v>-197466.08250000002</v>
      </c>
      <c r="O308" s="7">
        <f t="shared" si="74"/>
        <v>-182466.08250000002</v>
      </c>
      <c r="P308" s="7">
        <f t="shared" si="74"/>
        <v>-167910.16500000004</v>
      </c>
      <c r="Q308" s="7">
        <f t="shared" si="74"/>
        <v>-152910.16500000004</v>
      </c>
    </row>
    <row r="309" spans="1:17" x14ac:dyDescent="0.2">
      <c r="B309" s="62" t="s">
        <v>49</v>
      </c>
      <c r="C309" s="7">
        <f>C279-C249</f>
        <v>0</v>
      </c>
      <c r="D309" s="7">
        <f t="shared" ref="D309:Q309" si="75">D279-D249</f>
        <v>0</v>
      </c>
      <c r="E309" s="7">
        <f t="shared" si="75"/>
        <v>0</v>
      </c>
      <c r="F309" s="7">
        <f t="shared" si="75"/>
        <v>0</v>
      </c>
      <c r="G309" s="7">
        <f t="shared" si="75"/>
        <v>0</v>
      </c>
      <c r="H309" s="7">
        <f t="shared" si="75"/>
        <v>0</v>
      </c>
      <c r="I309" s="7">
        <f t="shared" si="75"/>
        <v>0</v>
      </c>
      <c r="J309" s="7">
        <f t="shared" si="75"/>
        <v>0</v>
      </c>
      <c r="K309" s="7">
        <f t="shared" si="75"/>
        <v>0</v>
      </c>
      <c r="L309" s="7">
        <f t="shared" si="75"/>
        <v>0</v>
      </c>
      <c r="M309" s="7">
        <f t="shared" si="75"/>
        <v>0</v>
      </c>
      <c r="N309" s="7">
        <f t="shared" si="75"/>
        <v>0</v>
      </c>
      <c r="O309" s="7">
        <f t="shared" si="75"/>
        <v>0</v>
      </c>
      <c r="P309" s="7">
        <f t="shared" si="75"/>
        <v>0</v>
      </c>
      <c r="Q309" s="7">
        <f t="shared" si="75"/>
        <v>0</v>
      </c>
    </row>
    <row r="310" spans="1:17" x14ac:dyDescent="0.2">
      <c r="B310" s="62" t="s">
        <v>50</v>
      </c>
      <c r="C310" s="7">
        <f t="shared" ref="C310:Q310" si="76">C280-C250</f>
        <v>-65000</v>
      </c>
      <c r="D310" s="7">
        <f t="shared" ref="D310:Q310" si="77">D280-D250</f>
        <v>-55000</v>
      </c>
      <c r="E310" s="7">
        <f t="shared" si="77"/>
        <v>-14147.996666666728</v>
      </c>
      <c r="F310" s="7">
        <f t="shared" si="77"/>
        <v>206028</v>
      </c>
      <c r="G310" s="7">
        <f t="shared" si="77"/>
        <v>206028</v>
      </c>
      <c r="H310" s="7">
        <f t="shared" si="77"/>
        <v>-89922</v>
      </c>
      <c r="I310" s="7">
        <f t="shared" si="77"/>
        <v>-248322</v>
      </c>
      <c r="J310" s="7">
        <f t="shared" si="77"/>
        <v>-306988.67</v>
      </c>
      <c r="K310" s="7">
        <f t="shared" si="77"/>
        <v>-329266.08250000002</v>
      </c>
      <c r="L310" s="7">
        <f t="shared" si="77"/>
        <v>-268799.42249999993</v>
      </c>
      <c r="M310" s="7">
        <f t="shared" si="77"/>
        <v>-212466.08250000002</v>
      </c>
      <c r="N310" s="7">
        <f t="shared" si="77"/>
        <v>-197466.08250000002</v>
      </c>
      <c r="O310" s="7">
        <f t="shared" si="77"/>
        <v>-182466.08250000002</v>
      </c>
      <c r="P310" s="7">
        <f t="shared" si="77"/>
        <v>-167910.16500000004</v>
      </c>
      <c r="Q310" s="7">
        <f t="shared" si="77"/>
        <v>-152910.16500000004</v>
      </c>
    </row>
    <row r="311" spans="1:17" x14ac:dyDescent="0.2">
      <c r="B311" s="62" t="s">
        <v>51</v>
      </c>
      <c r="C311" s="152">
        <f>IF(C310&gt;0,19%*C310,0)</f>
        <v>0</v>
      </c>
      <c r="D311" s="152">
        <f t="shared" ref="D311:Q311" si="78">IF(D310&gt;0,19%*D310,0)</f>
        <v>0</v>
      </c>
      <c r="E311" s="152">
        <f t="shared" si="78"/>
        <v>0</v>
      </c>
      <c r="F311" s="152">
        <f t="shared" si="78"/>
        <v>39145.32</v>
      </c>
      <c r="G311" s="152">
        <f t="shared" si="78"/>
        <v>39145.32</v>
      </c>
      <c r="H311" s="152">
        <f t="shared" si="78"/>
        <v>0</v>
      </c>
      <c r="I311" s="152">
        <f t="shared" si="78"/>
        <v>0</v>
      </c>
      <c r="J311" s="152">
        <f t="shared" si="78"/>
        <v>0</v>
      </c>
      <c r="K311" s="152">
        <f t="shared" si="78"/>
        <v>0</v>
      </c>
      <c r="L311" s="152">
        <f t="shared" si="78"/>
        <v>0</v>
      </c>
      <c r="M311" s="152">
        <f t="shared" si="78"/>
        <v>0</v>
      </c>
      <c r="N311" s="152">
        <f t="shared" si="78"/>
        <v>0</v>
      </c>
      <c r="O311" s="152">
        <f t="shared" si="78"/>
        <v>0</v>
      </c>
      <c r="P311" s="152">
        <f t="shared" si="78"/>
        <v>0</v>
      </c>
      <c r="Q311" s="152">
        <f t="shared" si="78"/>
        <v>0</v>
      </c>
    </row>
    <row r="312" spans="1:17" x14ac:dyDescent="0.2">
      <c r="B312" s="67" t="s">
        <v>52</v>
      </c>
      <c r="C312" s="7">
        <f>C282-C252</f>
        <v>0</v>
      </c>
      <c r="D312" s="7">
        <f t="shared" ref="D312:Q312" si="79">D282-D252</f>
        <v>0</v>
      </c>
      <c r="E312" s="7">
        <f t="shared" si="79"/>
        <v>0</v>
      </c>
      <c r="F312" s="7">
        <f t="shared" si="79"/>
        <v>0</v>
      </c>
      <c r="G312" s="7">
        <f t="shared" si="79"/>
        <v>0</v>
      </c>
      <c r="H312" s="7">
        <f t="shared" si="79"/>
        <v>0</v>
      </c>
      <c r="I312" s="7">
        <f t="shared" si="79"/>
        <v>0</v>
      </c>
      <c r="J312" s="7">
        <f t="shared" si="79"/>
        <v>0</v>
      </c>
      <c r="K312" s="7">
        <f t="shared" si="79"/>
        <v>0</v>
      </c>
      <c r="L312" s="7">
        <f t="shared" si="79"/>
        <v>0</v>
      </c>
      <c r="M312" s="7">
        <f t="shared" si="79"/>
        <v>0</v>
      </c>
      <c r="N312" s="7">
        <f t="shared" si="79"/>
        <v>0</v>
      </c>
      <c r="O312" s="7">
        <f t="shared" si="79"/>
        <v>0</v>
      </c>
      <c r="P312" s="7">
        <f t="shared" si="79"/>
        <v>0</v>
      </c>
      <c r="Q312" s="7">
        <f t="shared" si="79"/>
        <v>0</v>
      </c>
    </row>
    <row r="313" spans="1:17" x14ac:dyDescent="0.2">
      <c r="B313" s="68" t="s">
        <v>53</v>
      </c>
      <c r="C313" s="69">
        <f>C283-C253</f>
        <v>-65000</v>
      </c>
      <c r="D313" s="69">
        <f t="shared" ref="D313:Q313" si="80">D283-D253</f>
        <v>-55000</v>
      </c>
      <c r="E313" s="69">
        <f t="shared" si="80"/>
        <v>-14147.996666666728</v>
      </c>
      <c r="F313" s="69">
        <f t="shared" si="80"/>
        <v>164450.94219999996</v>
      </c>
      <c r="G313" s="69">
        <f t="shared" si="80"/>
        <v>164450.94219999996</v>
      </c>
      <c r="H313" s="69">
        <f t="shared" si="80"/>
        <v>-89922</v>
      </c>
      <c r="I313" s="69">
        <f t="shared" si="80"/>
        <v>-248322</v>
      </c>
      <c r="J313" s="69">
        <f t="shared" si="80"/>
        <v>-306988.67</v>
      </c>
      <c r="K313" s="69">
        <f t="shared" si="80"/>
        <v>-329266.08250000002</v>
      </c>
      <c r="L313" s="69">
        <f t="shared" si="80"/>
        <v>-268799.42249999993</v>
      </c>
      <c r="M313" s="69">
        <f t="shared" si="80"/>
        <v>-212466.08250000002</v>
      </c>
      <c r="N313" s="69">
        <f t="shared" si="80"/>
        <v>-197466.08250000002</v>
      </c>
      <c r="O313" s="69">
        <f t="shared" si="80"/>
        <v>-182466.08250000002</v>
      </c>
      <c r="P313" s="69">
        <f t="shared" si="80"/>
        <v>-167910.16500000004</v>
      </c>
      <c r="Q313" s="70">
        <f t="shared" si="80"/>
        <v>-152910.16500000004</v>
      </c>
    </row>
    <row r="318" spans="1:17" x14ac:dyDescent="0.2">
      <c r="A318" s="6" t="s">
        <v>172</v>
      </c>
      <c r="B318" s="6" t="s">
        <v>125</v>
      </c>
    </row>
    <row r="319" spans="1:17" x14ac:dyDescent="0.2">
      <c r="A319" s="99"/>
      <c r="B319" s="100" t="s">
        <v>126</v>
      </c>
      <c r="C319" s="126">
        <f t="shared" ref="C319:Q319" si="81">C$148</f>
        <v>2017</v>
      </c>
      <c r="D319" s="126">
        <f t="shared" si="81"/>
        <v>2018</v>
      </c>
      <c r="E319" s="126">
        <f t="shared" si="81"/>
        <v>2019</v>
      </c>
      <c r="F319" s="126">
        <f t="shared" si="81"/>
        <v>2020</v>
      </c>
      <c r="G319" s="126">
        <f t="shared" si="81"/>
        <v>2021</v>
      </c>
      <c r="H319" s="126">
        <f t="shared" si="81"/>
        <v>2022</v>
      </c>
      <c r="I319" s="126">
        <f t="shared" si="81"/>
        <v>2023</v>
      </c>
      <c r="J319" s="126">
        <f t="shared" si="81"/>
        <v>2024</v>
      </c>
      <c r="K319" s="126">
        <f t="shared" si="81"/>
        <v>2025</v>
      </c>
      <c r="L319" s="126">
        <f t="shared" si="81"/>
        <v>2026</v>
      </c>
      <c r="M319" s="126">
        <f t="shared" si="81"/>
        <v>2027</v>
      </c>
      <c r="N319" s="126">
        <f t="shared" si="81"/>
        <v>2028</v>
      </c>
      <c r="O319" s="126">
        <f t="shared" si="81"/>
        <v>2029</v>
      </c>
      <c r="P319" s="126">
        <f t="shared" si="81"/>
        <v>2030</v>
      </c>
      <c r="Q319" s="127">
        <f t="shared" si="81"/>
        <v>2031</v>
      </c>
    </row>
    <row r="320" spans="1:17" x14ac:dyDescent="0.2">
      <c r="B320" s="67" t="s">
        <v>95</v>
      </c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7"/>
    </row>
    <row r="321" spans="2:17" x14ac:dyDescent="0.2">
      <c r="B321" s="67" t="s">
        <v>96</v>
      </c>
      <c r="C321" s="42">
        <f>C253</f>
        <v>12798.620000000195</v>
      </c>
      <c r="D321" s="42">
        <f t="shared" ref="D321:Q321" si="82">D253</f>
        <v>12798.620000000195</v>
      </c>
      <c r="E321" s="42">
        <f t="shared" si="82"/>
        <v>12798.620000000195</v>
      </c>
      <c r="F321" s="42">
        <f t="shared" si="82"/>
        <v>12798.620000000195</v>
      </c>
      <c r="G321" s="42">
        <f t="shared" si="82"/>
        <v>12798.620000000195</v>
      </c>
      <c r="H321" s="42">
        <f t="shared" si="82"/>
        <v>12798.620000000195</v>
      </c>
      <c r="I321" s="42">
        <f t="shared" si="82"/>
        <v>12798.620000000195</v>
      </c>
      <c r="J321" s="42">
        <f t="shared" si="82"/>
        <v>12798.620000000195</v>
      </c>
      <c r="K321" s="42">
        <f t="shared" si="82"/>
        <v>12798.620000000195</v>
      </c>
      <c r="L321" s="42">
        <f t="shared" si="82"/>
        <v>12798.620000000195</v>
      </c>
      <c r="M321" s="42">
        <f t="shared" si="82"/>
        <v>12798.620000000195</v>
      </c>
      <c r="N321" s="42">
        <f t="shared" si="82"/>
        <v>12798.620000000195</v>
      </c>
      <c r="O321" s="42">
        <f t="shared" si="82"/>
        <v>12798.620000000195</v>
      </c>
      <c r="P321" s="42">
        <f t="shared" si="82"/>
        <v>12798.620000000195</v>
      </c>
      <c r="Q321" s="60">
        <f t="shared" si="82"/>
        <v>12798.620000000195</v>
      </c>
    </row>
    <row r="322" spans="2:17" x14ac:dyDescent="0.2">
      <c r="B322" s="67" t="s">
        <v>97</v>
      </c>
      <c r="C322" s="7">
        <f>SUM(C323:C332)</f>
        <v>206573.28</v>
      </c>
      <c r="D322" s="7">
        <f t="shared" ref="D322:Q322" si="83">SUM(D323:D332)</f>
        <v>206573.28</v>
      </c>
      <c r="E322" s="7">
        <f t="shared" si="83"/>
        <v>206573.28</v>
      </c>
      <c r="F322" s="7">
        <f t="shared" si="83"/>
        <v>206573.28</v>
      </c>
      <c r="G322" s="7">
        <f t="shared" si="83"/>
        <v>206573.28</v>
      </c>
      <c r="H322" s="7">
        <f t="shared" si="83"/>
        <v>206573.28</v>
      </c>
      <c r="I322" s="7">
        <f t="shared" si="83"/>
        <v>206573.28</v>
      </c>
      <c r="J322" s="7">
        <f t="shared" si="83"/>
        <v>206573.28</v>
      </c>
      <c r="K322" s="7">
        <f t="shared" si="83"/>
        <v>206573.28</v>
      </c>
      <c r="L322" s="7">
        <f t="shared" si="83"/>
        <v>206573.28</v>
      </c>
      <c r="M322" s="7">
        <f t="shared" si="83"/>
        <v>206573.28</v>
      </c>
      <c r="N322" s="7">
        <f t="shared" si="83"/>
        <v>206573.28</v>
      </c>
      <c r="O322" s="7">
        <f t="shared" si="83"/>
        <v>206573.28</v>
      </c>
      <c r="P322" s="7">
        <f t="shared" si="83"/>
        <v>206573.28</v>
      </c>
      <c r="Q322" s="64">
        <f t="shared" si="83"/>
        <v>206573.28</v>
      </c>
    </row>
    <row r="323" spans="2:17" x14ac:dyDescent="0.2">
      <c r="B323" s="101" t="s">
        <v>74</v>
      </c>
      <c r="C323" s="102">
        <f>C231</f>
        <v>206573.28</v>
      </c>
      <c r="D323" s="102">
        <f t="shared" ref="D323:Q323" si="84">D231</f>
        <v>206573.28</v>
      </c>
      <c r="E323" s="102">
        <f t="shared" si="84"/>
        <v>206573.28</v>
      </c>
      <c r="F323" s="102">
        <f t="shared" si="84"/>
        <v>206573.28</v>
      </c>
      <c r="G323" s="102">
        <f t="shared" si="84"/>
        <v>206573.28</v>
      </c>
      <c r="H323" s="102">
        <f t="shared" si="84"/>
        <v>206573.28</v>
      </c>
      <c r="I323" s="102">
        <f t="shared" si="84"/>
        <v>206573.28</v>
      </c>
      <c r="J323" s="102">
        <f t="shared" si="84"/>
        <v>206573.28</v>
      </c>
      <c r="K323" s="102">
        <f t="shared" si="84"/>
        <v>206573.28</v>
      </c>
      <c r="L323" s="102">
        <f t="shared" si="84"/>
        <v>206573.28</v>
      </c>
      <c r="M323" s="102">
        <f t="shared" si="84"/>
        <v>206573.28</v>
      </c>
      <c r="N323" s="102">
        <f t="shared" si="84"/>
        <v>206573.28</v>
      </c>
      <c r="O323" s="102">
        <f t="shared" si="84"/>
        <v>206573.28</v>
      </c>
      <c r="P323" s="102">
        <f t="shared" si="84"/>
        <v>206573.28</v>
      </c>
      <c r="Q323" s="103">
        <f t="shared" si="84"/>
        <v>206573.28</v>
      </c>
    </row>
    <row r="324" spans="2:17" x14ac:dyDescent="0.2">
      <c r="B324" s="101" t="s">
        <v>98</v>
      </c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3"/>
    </row>
    <row r="325" spans="2:17" x14ac:dyDescent="0.2">
      <c r="B325" s="101" t="s">
        <v>99</v>
      </c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3"/>
    </row>
    <row r="326" spans="2:17" x14ac:dyDescent="0.2">
      <c r="B326" s="101" t="s">
        <v>100</v>
      </c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3"/>
    </row>
    <row r="327" spans="2:17" x14ac:dyDescent="0.2">
      <c r="B327" s="101" t="s">
        <v>101</v>
      </c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3"/>
    </row>
    <row r="328" spans="2:17" x14ac:dyDescent="0.2">
      <c r="B328" s="101" t="s">
        <v>102</v>
      </c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3"/>
    </row>
    <row r="329" spans="2:17" x14ac:dyDescent="0.2">
      <c r="B329" s="101" t="s">
        <v>103</v>
      </c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3"/>
    </row>
    <row r="330" spans="2:17" x14ac:dyDescent="0.2">
      <c r="B330" s="101" t="s">
        <v>104</v>
      </c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3"/>
    </row>
    <row r="331" spans="2:17" x14ac:dyDescent="0.2">
      <c r="B331" s="101" t="s">
        <v>105</v>
      </c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3"/>
    </row>
    <row r="332" spans="2:17" x14ac:dyDescent="0.2">
      <c r="B332" s="101" t="s">
        <v>106</v>
      </c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3"/>
    </row>
    <row r="333" spans="2:17" x14ac:dyDescent="0.2">
      <c r="B333" s="67" t="s">
        <v>107</v>
      </c>
      <c r="C333" s="7">
        <f>C322+C321</f>
        <v>219371.9000000002</v>
      </c>
      <c r="D333" s="7">
        <f t="shared" ref="D333:Q333" si="85">D322+D321</f>
        <v>219371.9000000002</v>
      </c>
      <c r="E333" s="7">
        <f t="shared" si="85"/>
        <v>219371.9000000002</v>
      </c>
      <c r="F333" s="7">
        <f t="shared" si="85"/>
        <v>219371.9000000002</v>
      </c>
      <c r="G333" s="7">
        <f t="shared" si="85"/>
        <v>219371.9000000002</v>
      </c>
      <c r="H333" s="7">
        <f t="shared" si="85"/>
        <v>219371.9000000002</v>
      </c>
      <c r="I333" s="7">
        <f t="shared" si="85"/>
        <v>219371.9000000002</v>
      </c>
      <c r="J333" s="7">
        <f t="shared" si="85"/>
        <v>219371.9000000002</v>
      </c>
      <c r="K333" s="7">
        <f t="shared" si="85"/>
        <v>219371.9000000002</v>
      </c>
      <c r="L333" s="7">
        <f t="shared" si="85"/>
        <v>219371.9000000002</v>
      </c>
      <c r="M333" s="7">
        <f t="shared" si="85"/>
        <v>219371.9000000002</v>
      </c>
      <c r="N333" s="7">
        <f t="shared" si="85"/>
        <v>219371.9000000002</v>
      </c>
      <c r="O333" s="7">
        <f t="shared" si="85"/>
        <v>219371.9000000002</v>
      </c>
      <c r="P333" s="7">
        <f t="shared" si="85"/>
        <v>219371.9000000002</v>
      </c>
      <c r="Q333" s="64">
        <f t="shared" si="85"/>
        <v>219371.9000000002</v>
      </c>
    </row>
    <row r="334" spans="2:17" x14ac:dyDescent="0.2">
      <c r="B334" s="67" t="s">
        <v>108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66"/>
    </row>
    <row r="335" spans="2:17" x14ac:dyDescent="0.2">
      <c r="B335" s="104" t="s">
        <v>109</v>
      </c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3"/>
    </row>
    <row r="336" spans="2:17" x14ac:dyDescent="0.2">
      <c r="B336" s="104" t="s">
        <v>110</v>
      </c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3"/>
    </row>
    <row r="337" spans="2:17" x14ac:dyDescent="0.2">
      <c r="B337" s="67" t="s">
        <v>111</v>
      </c>
      <c r="C337" s="7">
        <f>C335-C336</f>
        <v>0</v>
      </c>
      <c r="D337" s="7">
        <f t="shared" ref="D337:Q337" si="86">D335-D336</f>
        <v>0</v>
      </c>
      <c r="E337" s="7">
        <f t="shared" si="86"/>
        <v>0</v>
      </c>
      <c r="F337" s="7">
        <f t="shared" si="86"/>
        <v>0</v>
      </c>
      <c r="G337" s="7">
        <f t="shared" si="86"/>
        <v>0</v>
      </c>
      <c r="H337" s="7">
        <f t="shared" si="86"/>
        <v>0</v>
      </c>
      <c r="I337" s="7">
        <f t="shared" si="86"/>
        <v>0</v>
      </c>
      <c r="J337" s="7">
        <f t="shared" si="86"/>
        <v>0</v>
      </c>
      <c r="K337" s="7">
        <f t="shared" si="86"/>
        <v>0</v>
      </c>
      <c r="L337" s="7">
        <f t="shared" si="86"/>
        <v>0</v>
      </c>
      <c r="M337" s="7">
        <f t="shared" si="86"/>
        <v>0</v>
      </c>
      <c r="N337" s="7">
        <f t="shared" si="86"/>
        <v>0</v>
      </c>
      <c r="O337" s="7">
        <f t="shared" si="86"/>
        <v>0</v>
      </c>
      <c r="P337" s="7">
        <f t="shared" si="86"/>
        <v>0</v>
      </c>
      <c r="Q337" s="64">
        <f t="shared" si="86"/>
        <v>0</v>
      </c>
    </row>
    <row r="338" spans="2:17" x14ac:dyDescent="0.2">
      <c r="B338" s="67" t="s">
        <v>112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64"/>
    </row>
    <row r="339" spans="2:17" x14ac:dyDescent="0.2">
      <c r="B339" s="104" t="s">
        <v>109</v>
      </c>
      <c r="C339" s="8">
        <f>SUM(C340:C344)</f>
        <v>0</v>
      </c>
      <c r="D339" s="8">
        <f t="shared" ref="D339:Q339" si="87">SUM(D340:D344)</f>
        <v>0</v>
      </c>
      <c r="E339" s="8">
        <f t="shared" si="87"/>
        <v>0</v>
      </c>
      <c r="F339" s="8">
        <f t="shared" si="87"/>
        <v>0</v>
      </c>
      <c r="G339" s="8">
        <f t="shared" si="87"/>
        <v>0</v>
      </c>
      <c r="H339" s="8">
        <f t="shared" si="87"/>
        <v>0</v>
      </c>
      <c r="I339" s="8">
        <f t="shared" si="87"/>
        <v>0</v>
      </c>
      <c r="J339" s="8">
        <f t="shared" si="87"/>
        <v>0</v>
      </c>
      <c r="K339" s="8">
        <f t="shared" si="87"/>
        <v>0</v>
      </c>
      <c r="L339" s="8">
        <f t="shared" si="87"/>
        <v>0</v>
      </c>
      <c r="M339" s="8">
        <f t="shared" si="87"/>
        <v>0</v>
      </c>
      <c r="N339" s="8">
        <f t="shared" si="87"/>
        <v>0</v>
      </c>
      <c r="O339" s="8">
        <f t="shared" si="87"/>
        <v>0</v>
      </c>
      <c r="P339" s="8">
        <f t="shared" si="87"/>
        <v>0</v>
      </c>
      <c r="Q339" s="66">
        <f t="shared" si="87"/>
        <v>0</v>
      </c>
    </row>
    <row r="340" spans="2:17" x14ac:dyDescent="0.2">
      <c r="B340" s="101" t="s">
        <v>113</v>
      </c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3"/>
    </row>
    <row r="341" spans="2:17" x14ac:dyDescent="0.2">
      <c r="B341" s="101" t="s">
        <v>114</v>
      </c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3"/>
    </row>
    <row r="342" spans="2:17" x14ac:dyDescent="0.2">
      <c r="B342" s="101" t="s">
        <v>115</v>
      </c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3"/>
    </row>
    <row r="343" spans="2:17" x14ac:dyDescent="0.2">
      <c r="B343" s="101" t="s">
        <v>116</v>
      </c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3"/>
    </row>
    <row r="344" spans="2:17" x14ac:dyDescent="0.2">
      <c r="B344" s="101" t="s">
        <v>117</v>
      </c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3"/>
    </row>
    <row r="345" spans="2:17" x14ac:dyDescent="0.2">
      <c r="B345" s="104" t="s">
        <v>110</v>
      </c>
      <c r="C345" s="8">
        <f>SUM(C346:C348)</f>
        <v>20306.09</v>
      </c>
      <c r="D345" s="8">
        <f t="shared" ref="D345:Q345" si="88">SUM(D346:D348)</f>
        <v>20306.09</v>
      </c>
      <c r="E345" s="8">
        <f t="shared" si="88"/>
        <v>20306.09</v>
      </c>
      <c r="F345" s="8">
        <f t="shared" si="88"/>
        <v>20306.09</v>
      </c>
      <c r="G345" s="8">
        <f t="shared" si="88"/>
        <v>20306.09</v>
      </c>
      <c r="H345" s="8">
        <f t="shared" si="88"/>
        <v>20306.09</v>
      </c>
      <c r="I345" s="8">
        <f t="shared" si="88"/>
        <v>20306.09</v>
      </c>
      <c r="J345" s="8">
        <f t="shared" si="88"/>
        <v>20306.09</v>
      </c>
      <c r="K345" s="8">
        <f t="shared" si="88"/>
        <v>20306.09</v>
      </c>
      <c r="L345" s="8">
        <f t="shared" si="88"/>
        <v>20306.09</v>
      </c>
      <c r="M345" s="8">
        <f t="shared" si="88"/>
        <v>20306.09</v>
      </c>
      <c r="N345" s="8">
        <f t="shared" si="88"/>
        <v>20306.09</v>
      </c>
      <c r="O345" s="8">
        <f t="shared" si="88"/>
        <v>20306.09</v>
      </c>
      <c r="P345" s="8">
        <f t="shared" si="88"/>
        <v>20306.09</v>
      </c>
      <c r="Q345" s="66">
        <f t="shared" si="88"/>
        <v>20306.09</v>
      </c>
    </row>
    <row r="346" spans="2:17" x14ac:dyDescent="0.2">
      <c r="B346" s="101" t="s">
        <v>118</v>
      </c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3"/>
    </row>
    <row r="347" spans="2:17" x14ac:dyDescent="0.2">
      <c r="B347" s="101" t="s">
        <v>119</v>
      </c>
      <c r="C347" s="102">
        <f>C247</f>
        <v>20306.09</v>
      </c>
      <c r="D347" s="102">
        <f t="shared" ref="D347:Q347" si="89">D247</f>
        <v>20306.09</v>
      </c>
      <c r="E347" s="102">
        <f t="shared" si="89"/>
        <v>20306.09</v>
      </c>
      <c r="F347" s="102">
        <f t="shared" si="89"/>
        <v>20306.09</v>
      </c>
      <c r="G347" s="102">
        <f t="shared" si="89"/>
        <v>20306.09</v>
      </c>
      <c r="H347" s="102">
        <f t="shared" si="89"/>
        <v>20306.09</v>
      </c>
      <c r="I347" s="102">
        <f t="shared" si="89"/>
        <v>20306.09</v>
      </c>
      <c r="J347" s="102">
        <f t="shared" si="89"/>
        <v>20306.09</v>
      </c>
      <c r="K347" s="102">
        <f t="shared" si="89"/>
        <v>20306.09</v>
      </c>
      <c r="L347" s="102">
        <f t="shared" si="89"/>
        <v>20306.09</v>
      </c>
      <c r="M347" s="102">
        <f t="shared" si="89"/>
        <v>20306.09</v>
      </c>
      <c r="N347" s="102">
        <f t="shared" si="89"/>
        <v>20306.09</v>
      </c>
      <c r="O347" s="102">
        <f t="shared" si="89"/>
        <v>20306.09</v>
      </c>
      <c r="P347" s="102">
        <f t="shared" si="89"/>
        <v>20306.09</v>
      </c>
      <c r="Q347" s="103">
        <f t="shared" si="89"/>
        <v>20306.09</v>
      </c>
    </row>
    <row r="348" spans="2:17" x14ac:dyDescent="0.2">
      <c r="B348" s="101" t="s">
        <v>120</v>
      </c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3"/>
    </row>
    <row r="349" spans="2:17" x14ac:dyDescent="0.2">
      <c r="B349" s="67" t="s">
        <v>121</v>
      </c>
      <c r="C349" s="7">
        <f>C339-C345</f>
        <v>-20306.09</v>
      </c>
      <c r="D349" s="7">
        <f t="shared" ref="D349:Q349" si="90">D339-D345</f>
        <v>-20306.09</v>
      </c>
      <c r="E349" s="7">
        <f t="shared" si="90"/>
        <v>-20306.09</v>
      </c>
      <c r="F349" s="7">
        <f t="shared" si="90"/>
        <v>-20306.09</v>
      </c>
      <c r="G349" s="7">
        <f t="shared" si="90"/>
        <v>-20306.09</v>
      </c>
      <c r="H349" s="7">
        <f t="shared" si="90"/>
        <v>-20306.09</v>
      </c>
      <c r="I349" s="7">
        <f t="shared" si="90"/>
        <v>-20306.09</v>
      </c>
      <c r="J349" s="7">
        <f t="shared" si="90"/>
        <v>-20306.09</v>
      </c>
      <c r="K349" s="7">
        <f t="shared" si="90"/>
        <v>-20306.09</v>
      </c>
      <c r="L349" s="7">
        <f t="shared" si="90"/>
        <v>-20306.09</v>
      </c>
      <c r="M349" s="7">
        <f t="shared" si="90"/>
        <v>-20306.09</v>
      </c>
      <c r="N349" s="7">
        <f t="shared" si="90"/>
        <v>-20306.09</v>
      </c>
      <c r="O349" s="7">
        <f t="shared" si="90"/>
        <v>-20306.09</v>
      </c>
      <c r="P349" s="7">
        <f t="shared" si="90"/>
        <v>-20306.09</v>
      </c>
      <c r="Q349" s="64">
        <f t="shared" si="90"/>
        <v>-20306.09</v>
      </c>
    </row>
    <row r="350" spans="2:17" x14ac:dyDescent="0.2">
      <c r="B350" s="67" t="s">
        <v>122</v>
      </c>
      <c r="C350" s="7">
        <f>C333+C337+C349</f>
        <v>199065.8100000002</v>
      </c>
      <c r="D350" s="7">
        <f t="shared" ref="D350:Q350" si="91">D333+D337+D349</f>
        <v>199065.8100000002</v>
      </c>
      <c r="E350" s="7">
        <f t="shared" si="91"/>
        <v>199065.8100000002</v>
      </c>
      <c r="F350" s="7">
        <f t="shared" si="91"/>
        <v>199065.8100000002</v>
      </c>
      <c r="G350" s="7">
        <f t="shared" si="91"/>
        <v>199065.8100000002</v>
      </c>
      <c r="H350" s="7">
        <f t="shared" si="91"/>
        <v>199065.8100000002</v>
      </c>
      <c r="I350" s="7">
        <f t="shared" si="91"/>
        <v>199065.8100000002</v>
      </c>
      <c r="J350" s="7">
        <f t="shared" si="91"/>
        <v>199065.8100000002</v>
      </c>
      <c r="K350" s="7">
        <f t="shared" si="91"/>
        <v>199065.8100000002</v>
      </c>
      <c r="L350" s="7">
        <f t="shared" si="91"/>
        <v>199065.8100000002</v>
      </c>
      <c r="M350" s="7">
        <f t="shared" si="91"/>
        <v>199065.8100000002</v>
      </c>
      <c r="N350" s="7">
        <f t="shared" si="91"/>
        <v>199065.8100000002</v>
      </c>
      <c r="O350" s="7">
        <f t="shared" si="91"/>
        <v>199065.8100000002</v>
      </c>
      <c r="P350" s="7">
        <f t="shared" si="91"/>
        <v>199065.8100000002</v>
      </c>
      <c r="Q350" s="64">
        <f t="shared" si="91"/>
        <v>199065.8100000002</v>
      </c>
    </row>
    <row r="351" spans="2:17" x14ac:dyDescent="0.2">
      <c r="B351" s="67" t="s">
        <v>123</v>
      </c>
      <c r="C351" s="153">
        <v>600000</v>
      </c>
      <c r="D351" s="7">
        <f>C352</f>
        <v>799065.81000000017</v>
      </c>
      <c r="E351" s="7">
        <f>D352</f>
        <v>998131.62000000034</v>
      </c>
      <c r="F351" s="7">
        <f t="shared" ref="F351:Q351" si="92">E352</f>
        <v>1197197.4300000006</v>
      </c>
      <c r="G351" s="7">
        <f t="shared" si="92"/>
        <v>1396263.2400000009</v>
      </c>
      <c r="H351" s="7">
        <f t="shared" si="92"/>
        <v>1595329.0500000012</v>
      </c>
      <c r="I351" s="7">
        <f t="shared" si="92"/>
        <v>1794394.8600000015</v>
      </c>
      <c r="J351" s="7">
        <f t="shared" si="92"/>
        <v>1993460.6700000018</v>
      </c>
      <c r="K351" s="7">
        <f t="shared" si="92"/>
        <v>2192526.4800000018</v>
      </c>
      <c r="L351" s="7">
        <f t="shared" si="92"/>
        <v>2391592.2900000019</v>
      </c>
      <c r="M351" s="7">
        <f t="shared" si="92"/>
        <v>2590658.100000002</v>
      </c>
      <c r="N351" s="7">
        <f t="shared" si="92"/>
        <v>2789723.910000002</v>
      </c>
      <c r="O351" s="7">
        <f t="shared" si="92"/>
        <v>2988789.7200000021</v>
      </c>
      <c r="P351" s="7">
        <f t="shared" si="92"/>
        <v>3187855.5300000021</v>
      </c>
      <c r="Q351" s="64">
        <f t="shared" si="92"/>
        <v>3386921.3400000022</v>
      </c>
    </row>
    <row r="352" spans="2:17" x14ac:dyDescent="0.2">
      <c r="B352" s="68" t="s">
        <v>124</v>
      </c>
      <c r="C352" s="69">
        <f>C351+C350</f>
        <v>799065.81000000017</v>
      </c>
      <c r="D352" s="69">
        <f t="shared" ref="D352:Q352" si="93">D351+D350</f>
        <v>998131.62000000034</v>
      </c>
      <c r="E352" s="69">
        <f t="shared" si="93"/>
        <v>1197197.4300000006</v>
      </c>
      <c r="F352" s="69">
        <f t="shared" si="93"/>
        <v>1396263.2400000009</v>
      </c>
      <c r="G352" s="69">
        <f t="shared" si="93"/>
        <v>1595329.0500000012</v>
      </c>
      <c r="H352" s="69">
        <f t="shared" si="93"/>
        <v>1794394.8600000015</v>
      </c>
      <c r="I352" s="69">
        <f t="shared" si="93"/>
        <v>1993460.6700000018</v>
      </c>
      <c r="J352" s="69">
        <f t="shared" si="93"/>
        <v>2192526.4800000018</v>
      </c>
      <c r="K352" s="69">
        <f t="shared" si="93"/>
        <v>2391592.2900000019</v>
      </c>
      <c r="L352" s="69">
        <f t="shared" si="93"/>
        <v>2590658.100000002</v>
      </c>
      <c r="M352" s="69">
        <f t="shared" si="93"/>
        <v>2789723.910000002</v>
      </c>
      <c r="N352" s="69">
        <f t="shared" si="93"/>
        <v>2988789.7200000021</v>
      </c>
      <c r="O352" s="69">
        <f t="shared" si="93"/>
        <v>3187855.5300000021</v>
      </c>
      <c r="P352" s="69">
        <f t="shared" si="93"/>
        <v>3386921.3400000022</v>
      </c>
      <c r="Q352" s="70">
        <f t="shared" si="93"/>
        <v>3585987.1500000022</v>
      </c>
    </row>
    <row r="356" spans="1:17" x14ac:dyDescent="0.2">
      <c r="A356" s="6" t="s">
        <v>173</v>
      </c>
      <c r="B356" s="6" t="s">
        <v>127</v>
      </c>
    </row>
    <row r="357" spans="1:17" x14ac:dyDescent="0.2">
      <c r="A357" s="99"/>
      <c r="B357" s="100" t="s">
        <v>126</v>
      </c>
      <c r="C357" s="126">
        <f t="shared" ref="C357:Q357" si="94">C$148</f>
        <v>2017</v>
      </c>
      <c r="D357" s="126">
        <f t="shared" si="94"/>
        <v>2018</v>
      </c>
      <c r="E357" s="126">
        <f t="shared" si="94"/>
        <v>2019</v>
      </c>
      <c r="F357" s="126">
        <f t="shared" si="94"/>
        <v>2020</v>
      </c>
      <c r="G357" s="126">
        <f t="shared" si="94"/>
        <v>2021</v>
      </c>
      <c r="H357" s="126">
        <f t="shared" si="94"/>
        <v>2022</v>
      </c>
      <c r="I357" s="126">
        <f t="shared" si="94"/>
        <v>2023</v>
      </c>
      <c r="J357" s="126">
        <f t="shared" si="94"/>
        <v>2024</v>
      </c>
      <c r="K357" s="126">
        <f t="shared" si="94"/>
        <v>2025</v>
      </c>
      <c r="L357" s="126">
        <f t="shared" si="94"/>
        <v>2026</v>
      </c>
      <c r="M357" s="126">
        <f t="shared" si="94"/>
        <v>2027</v>
      </c>
      <c r="N357" s="126">
        <f t="shared" si="94"/>
        <v>2028</v>
      </c>
      <c r="O357" s="126">
        <f t="shared" si="94"/>
        <v>2029</v>
      </c>
      <c r="P357" s="126">
        <f t="shared" si="94"/>
        <v>2030</v>
      </c>
      <c r="Q357" s="127">
        <f t="shared" si="94"/>
        <v>2031</v>
      </c>
    </row>
    <row r="358" spans="1:17" x14ac:dyDescent="0.2">
      <c r="B358" s="67" t="s">
        <v>95</v>
      </c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7"/>
    </row>
    <row r="359" spans="1:17" x14ac:dyDescent="0.2">
      <c r="B359" s="67" t="s">
        <v>96</v>
      </c>
      <c r="C359" s="42">
        <f>C283</f>
        <v>-52201.379999999801</v>
      </c>
      <c r="D359" s="42">
        <f t="shared" ref="D359:Q359" si="95">D283</f>
        <v>-42201.379999999801</v>
      </c>
      <c r="E359" s="42">
        <f t="shared" si="95"/>
        <v>-1349.3766666665324</v>
      </c>
      <c r="F359" s="42">
        <f t="shared" si="95"/>
        <v>177249.56220000016</v>
      </c>
      <c r="G359" s="42">
        <f t="shared" si="95"/>
        <v>177249.56220000016</v>
      </c>
      <c r="H359" s="42">
        <f t="shared" si="95"/>
        <v>-77123.379999999801</v>
      </c>
      <c r="I359" s="42">
        <f t="shared" si="95"/>
        <v>-235523.3799999998</v>
      </c>
      <c r="J359" s="42">
        <f t="shared" si="95"/>
        <v>-294190.04999999981</v>
      </c>
      <c r="K359" s="42">
        <f t="shared" si="95"/>
        <v>-316467.46249999985</v>
      </c>
      <c r="L359" s="42">
        <f t="shared" si="95"/>
        <v>-256000.80249999976</v>
      </c>
      <c r="M359" s="42">
        <f t="shared" si="95"/>
        <v>-199667.46249999982</v>
      </c>
      <c r="N359" s="42">
        <f t="shared" si="95"/>
        <v>-184667.46249999982</v>
      </c>
      <c r="O359" s="42">
        <f t="shared" si="95"/>
        <v>-169667.46249999982</v>
      </c>
      <c r="P359" s="42">
        <f t="shared" si="95"/>
        <v>-155111.54499999984</v>
      </c>
      <c r="Q359" s="60">
        <f t="shared" si="95"/>
        <v>-140111.54499999984</v>
      </c>
    </row>
    <row r="360" spans="1:17" x14ac:dyDescent="0.2">
      <c r="B360" s="67" t="s">
        <v>97</v>
      </c>
      <c r="C360" s="7">
        <f>SUM(C361:C370)</f>
        <v>206573.28</v>
      </c>
      <c r="D360" s="7">
        <f t="shared" ref="D360:Q360" si="96">SUM(D361:D370)</f>
        <v>206573.28</v>
      </c>
      <c r="E360" s="7">
        <f t="shared" si="96"/>
        <v>-78778.723333333386</v>
      </c>
      <c r="F360" s="7">
        <f t="shared" si="96"/>
        <v>-221454.71999999997</v>
      </c>
      <c r="G360" s="7">
        <f t="shared" si="96"/>
        <v>-221454.71999999997</v>
      </c>
      <c r="H360" s="7">
        <f t="shared" si="96"/>
        <v>81995.280000000028</v>
      </c>
      <c r="I360" s="7">
        <f t="shared" si="96"/>
        <v>255395.28000000003</v>
      </c>
      <c r="J360" s="7">
        <f t="shared" si="96"/>
        <v>329061.95</v>
      </c>
      <c r="K360" s="7">
        <f t="shared" si="96"/>
        <v>366339.36250000005</v>
      </c>
      <c r="L360" s="7">
        <f t="shared" si="96"/>
        <v>320872.70249999996</v>
      </c>
      <c r="M360" s="7">
        <f t="shared" si="96"/>
        <v>279539.36249999999</v>
      </c>
      <c r="N360" s="7">
        <f t="shared" si="96"/>
        <v>279539.36249999999</v>
      </c>
      <c r="O360" s="7">
        <f t="shared" si="96"/>
        <v>279539.36249999999</v>
      </c>
      <c r="P360" s="7">
        <f t="shared" si="96"/>
        <v>279983.44500000001</v>
      </c>
      <c r="Q360" s="64">
        <f t="shared" si="96"/>
        <v>279983.44500000001</v>
      </c>
    </row>
    <row r="361" spans="1:17" x14ac:dyDescent="0.2">
      <c r="B361" s="101" t="s">
        <v>74</v>
      </c>
      <c r="C361" s="102">
        <f>C261</f>
        <v>206573.28</v>
      </c>
      <c r="D361" s="102">
        <f t="shared" ref="D361:Q361" si="97">D261</f>
        <v>206573.28</v>
      </c>
      <c r="E361" s="102">
        <f t="shared" si="97"/>
        <v>459486.61</v>
      </c>
      <c r="F361" s="102">
        <f t="shared" si="97"/>
        <v>585943.28</v>
      </c>
      <c r="G361" s="102">
        <f t="shared" si="97"/>
        <v>585943.28</v>
      </c>
      <c r="H361" s="102">
        <f t="shared" si="97"/>
        <v>585943.28</v>
      </c>
      <c r="I361" s="102">
        <f t="shared" si="97"/>
        <v>585943.28</v>
      </c>
      <c r="J361" s="102">
        <f t="shared" si="97"/>
        <v>585943.28</v>
      </c>
      <c r="K361" s="102">
        <f t="shared" si="97"/>
        <v>586387.36250000005</v>
      </c>
      <c r="L361" s="102">
        <f t="shared" si="97"/>
        <v>491054.03249999997</v>
      </c>
      <c r="M361" s="102">
        <f t="shared" si="97"/>
        <v>404387.36249999999</v>
      </c>
      <c r="N361" s="102">
        <f t="shared" si="97"/>
        <v>404387.36249999999</v>
      </c>
      <c r="O361" s="102">
        <f t="shared" si="97"/>
        <v>404387.36249999999</v>
      </c>
      <c r="P361" s="102">
        <f t="shared" si="97"/>
        <v>404831.44500000001</v>
      </c>
      <c r="Q361" s="103">
        <f t="shared" si="97"/>
        <v>404831.44500000001</v>
      </c>
    </row>
    <row r="362" spans="1:17" x14ac:dyDescent="0.2">
      <c r="B362" s="101" t="s">
        <v>98</v>
      </c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3"/>
    </row>
    <row r="363" spans="1:17" x14ac:dyDescent="0.2">
      <c r="B363" s="101" t="s">
        <v>99</v>
      </c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3"/>
    </row>
    <row r="364" spans="1:17" x14ac:dyDescent="0.2">
      <c r="B364" s="101" t="s">
        <v>100</v>
      </c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3"/>
    </row>
    <row r="365" spans="1:17" x14ac:dyDescent="0.2">
      <c r="B365" s="101" t="s">
        <v>101</v>
      </c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3"/>
    </row>
    <row r="366" spans="1:17" x14ac:dyDescent="0.2">
      <c r="B366" s="101" t="s">
        <v>102</v>
      </c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3"/>
    </row>
    <row r="367" spans="1:17" x14ac:dyDescent="0.2">
      <c r="B367" s="101" t="s">
        <v>103</v>
      </c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3"/>
    </row>
    <row r="368" spans="1:17" x14ac:dyDescent="0.2">
      <c r="B368" s="101" t="s">
        <v>104</v>
      </c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3"/>
    </row>
    <row r="369" spans="2:17" x14ac:dyDescent="0.2">
      <c r="B369" s="101" t="s">
        <v>105</v>
      </c>
      <c r="C369" s="102"/>
      <c r="D369" s="102"/>
      <c r="E369" s="102">
        <f>-E302</f>
        <v>-538265.33333333337</v>
      </c>
      <c r="F369" s="102">
        <f t="shared" ref="F369:Q369" si="98">-F302</f>
        <v>-807398</v>
      </c>
      <c r="G369" s="102">
        <f t="shared" si="98"/>
        <v>-807398</v>
      </c>
      <c r="H369" s="102">
        <f t="shared" si="98"/>
        <v>-503948</v>
      </c>
      <c r="I369" s="102">
        <f t="shared" si="98"/>
        <v>-330548</v>
      </c>
      <c r="J369" s="102">
        <f t="shared" si="98"/>
        <v>-256881.33000000002</v>
      </c>
      <c r="K369" s="102">
        <f t="shared" si="98"/>
        <v>-220048</v>
      </c>
      <c r="L369" s="102">
        <f t="shared" si="98"/>
        <v>-170181.33000000002</v>
      </c>
      <c r="M369" s="102">
        <f t="shared" si="98"/>
        <v>-124848</v>
      </c>
      <c r="N369" s="102">
        <f t="shared" si="98"/>
        <v>-124848</v>
      </c>
      <c r="O369" s="102">
        <f t="shared" si="98"/>
        <v>-124848</v>
      </c>
      <c r="P369" s="102">
        <f t="shared" si="98"/>
        <v>-124848</v>
      </c>
      <c r="Q369" s="102">
        <f t="shared" si="98"/>
        <v>-124848</v>
      </c>
    </row>
    <row r="370" spans="2:17" x14ac:dyDescent="0.2">
      <c r="B370" s="101" t="s">
        <v>106</v>
      </c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3"/>
    </row>
    <row r="371" spans="2:17" x14ac:dyDescent="0.2">
      <c r="B371" s="67" t="s">
        <v>107</v>
      </c>
      <c r="C371" s="7">
        <f>C360+C359</f>
        <v>154371.9000000002</v>
      </c>
      <c r="D371" s="7">
        <f t="shared" ref="D371:Q371" si="99">D360+D359</f>
        <v>164371.9000000002</v>
      </c>
      <c r="E371" s="7">
        <f t="shared" si="99"/>
        <v>-80128.099999999919</v>
      </c>
      <c r="F371" s="7">
        <f t="shared" si="99"/>
        <v>-44205.157799999812</v>
      </c>
      <c r="G371" s="7">
        <f t="shared" si="99"/>
        <v>-44205.157799999812</v>
      </c>
      <c r="H371" s="7">
        <f t="shared" si="99"/>
        <v>4871.900000000227</v>
      </c>
      <c r="I371" s="7">
        <f t="shared" si="99"/>
        <v>19871.900000000227</v>
      </c>
      <c r="J371" s="7">
        <f t="shared" si="99"/>
        <v>34871.900000000198</v>
      </c>
      <c r="K371" s="7">
        <f t="shared" si="99"/>
        <v>49871.900000000198</v>
      </c>
      <c r="L371" s="7">
        <f t="shared" si="99"/>
        <v>64871.900000000198</v>
      </c>
      <c r="M371" s="7">
        <f t="shared" si="99"/>
        <v>79871.900000000169</v>
      </c>
      <c r="N371" s="7">
        <f t="shared" si="99"/>
        <v>94871.900000000169</v>
      </c>
      <c r="O371" s="7">
        <f t="shared" si="99"/>
        <v>109871.90000000017</v>
      </c>
      <c r="P371" s="7">
        <f t="shared" si="99"/>
        <v>124871.90000000017</v>
      </c>
      <c r="Q371" s="64">
        <f t="shared" si="99"/>
        <v>139871.90000000017</v>
      </c>
    </row>
    <row r="372" spans="2:17" x14ac:dyDescent="0.2">
      <c r="B372" s="67" t="s">
        <v>108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66"/>
    </row>
    <row r="373" spans="2:17" x14ac:dyDescent="0.2">
      <c r="B373" s="104" t="s">
        <v>109</v>
      </c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3"/>
    </row>
    <row r="374" spans="2:17" x14ac:dyDescent="0.2">
      <c r="B374" s="104" t="s">
        <v>110</v>
      </c>
      <c r="C374" s="102">
        <f>E130+C165</f>
        <v>413495</v>
      </c>
      <c r="D374" s="102">
        <f t="shared" ref="D374:Q374" si="100">F130+D165</f>
        <v>3149255</v>
      </c>
      <c r="E374" s="102">
        <f t="shared" si="100"/>
        <v>4485255</v>
      </c>
      <c r="F374" s="102">
        <f t="shared" si="100"/>
        <v>0</v>
      </c>
      <c r="G374" s="102">
        <f t="shared" si="100"/>
        <v>0</v>
      </c>
      <c r="H374" s="102">
        <f t="shared" si="100"/>
        <v>0</v>
      </c>
      <c r="I374" s="102">
        <f t="shared" si="100"/>
        <v>0</v>
      </c>
      <c r="J374" s="102">
        <f t="shared" si="100"/>
        <v>9868.5</v>
      </c>
      <c r="K374" s="102">
        <f t="shared" si="100"/>
        <v>0</v>
      </c>
      <c r="L374" s="102">
        <f t="shared" si="100"/>
        <v>0</v>
      </c>
      <c r="M374" s="102">
        <f t="shared" si="100"/>
        <v>0</v>
      </c>
      <c r="N374" s="102">
        <f t="shared" si="100"/>
        <v>0</v>
      </c>
      <c r="O374" s="102">
        <f t="shared" si="100"/>
        <v>9868.5</v>
      </c>
      <c r="P374" s="102">
        <f t="shared" si="100"/>
        <v>0</v>
      </c>
      <c r="Q374" s="103">
        <f t="shared" si="100"/>
        <v>0</v>
      </c>
    </row>
    <row r="375" spans="2:17" x14ac:dyDescent="0.2">
      <c r="B375" s="67" t="s">
        <v>111</v>
      </c>
      <c r="C375" s="7">
        <f t="shared" ref="C375:Q375" si="101">C373-C374</f>
        <v>-413495</v>
      </c>
      <c r="D375" s="7">
        <f t="shared" si="101"/>
        <v>-3149255</v>
      </c>
      <c r="E375" s="7">
        <f t="shared" si="101"/>
        <v>-4485255</v>
      </c>
      <c r="F375" s="7">
        <f t="shared" si="101"/>
        <v>0</v>
      </c>
      <c r="G375" s="7">
        <f t="shared" si="101"/>
        <v>0</v>
      </c>
      <c r="H375" s="7">
        <f t="shared" si="101"/>
        <v>0</v>
      </c>
      <c r="I375" s="7">
        <f t="shared" si="101"/>
        <v>0</v>
      </c>
      <c r="J375" s="7">
        <f t="shared" si="101"/>
        <v>-9868.5</v>
      </c>
      <c r="K375" s="7">
        <f t="shared" si="101"/>
        <v>0</v>
      </c>
      <c r="L375" s="7">
        <f t="shared" si="101"/>
        <v>0</v>
      </c>
      <c r="M375" s="7">
        <f t="shared" si="101"/>
        <v>0</v>
      </c>
      <c r="N375" s="7">
        <f t="shared" si="101"/>
        <v>0</v>
      </c>
      <c r="O375" s="7">
        <f t="shared" si="101"/>
        <v>-9868.5</v>
      </c>
      <c r="P375" s="7">
        <f t="shared" si="101"/>
        <v>0</v>
      </c>
      <c r="Q375" s="64">
        <f t="shared" si="101"/>
        <v>0</v>
      </c>
    </row>
    <row r="376" spans="2:17" x14ac:dyDescent="0.2">
      <c r="B376" s="67" t="s">
        <v>112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64"/>
    </row>
    <row r="377" spans="2:17" x14ac:dyDescent="0.2">
      <c r="B377" s="104" t="s">
        <v>109</v>
      </c>
      <c r="C377" s="8">
        <f t="shared" ref="C377:Q377" si="102">SUM(C378:C382)</f>
        <v>800000</v>
      </c>
      <c r="D377" s="8">
        <f t="shared" si="102"/>
        <v>2000000</v>
      </c>
      <c r="E377" s="8">
        <f t="shared" si="102"/>
        <v>6358122</v>
      </c>
      <c r="F377" s="8">
        <f t="shared" si="102"/>
        <v>0</v>
      </c>
      <c r="G377" s="8">
        <f t="shared" si="102"/>
        <v>0</v>
      </c>
      <c r="H377" s="8">
        <f t="shared" si="102"/>
        <v>0</v>
      </c>
      <c r="I377" s="8">
        <f t="shared" si="102"/>
        <v>0</v>
      </c>
      <c r="J377" s="8">
        <f t="shared" si="102"/>
        <v>0</v>
      </c>
      <c r="K377" s="8">
        <f t="shared" si="102"/>
        <v>600000</v>
      </c>
      <c r="L377" s="8">
        <f t="shared" si="102"/>
        <v>0</v>
      </c>
      <c r="M377" s="8">
        <f t="shared" si="102"/>
        <v>600000</v>
      </c>
      <c r="N377" s="8">
        <f t="shared" si="102"/>
        <v>0</v>
      </c>
      <c r="O377" s="8">
        <f t="shared" si="102"/>
        <v>550000</v>
      </c>
      <c r="P377" s="8">
        <f t="shared" si="102"/>
        <v>0</v>
      </c>
      <c r="Q377" s="66">
        <f t="shared" si="102"/>
        <v>0</v>
      </c>
    </row>
    <row r="378" spans="2:17" x14ac:dyDescent="0.2">
      <c r="B378" s="101" t="s">
        <v>113</v>
      </c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3"/>
    </row>
    <row r="379" spans="2:17" x14ac:dyDescent="0.2">
      <c r="B379" s="101" t="s">
        <v>114</v>
      </c>
      <c r="C379" s="102">
        <f>C480</f>
        <v>100000</v>
      </c>
      <c r="D379" s="102">
        <f t="shared" ref="D379:E379" si="103">D480</f>
        <v>2000000</v>
      </c>
      <c r="E379" s="102">
        <f t="shared" si="103"/>
        <v>900000</v>
      </c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3"/>
    </row>
    <row r="380" spans="2:17" x14ac:dyDescent="0.2">
      <c r="B380" s="101" t="s">
        <v>115</v>
      </c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3"/>
    </row>
    <row r="381" spans="2:17" x14ac:dyDescent="0.2">
      <c r="B381" s="101" t="s">
        <v>116</v>
      </c>
      <c r="C381" s="102"/>
      <c r="D381" s="102"/>
      <c r="E381" s="102">
        <f>C473</f>
        <v>5458122</v>
      </c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3"/>
    </row>
    <row r="382" spans="2:17" x14ac:dyDescent="0.2">
      <c r="B382" s="101" t="s">
        <v>117</v>
      </c>
      <c r="C382" s="102">
        <v>700000</v>
      </c>
      <c r="D382" s="102"/>
      <c r="E382" s="102"/>
      <c r="F382" s="102"/>
      <c r="G382" s="102"/>
      <c r="H382" s="102"/>
      <c r="I382" s="102"/>
      <c r="J382" s="102"/>
      <c r="K382" s="102">
        <v>600000</v>
      </c>
      <c r="L382" s="102"/>
      <c r="M382" s="102">
        <v>600000</v>
      </c>
      <c r="N382" s="102"/>
      <c r="O382" s="102">
        <v>550000</v>
      </c>
      <c r="P382" s="102"/>
      <c r="Q382" s="103"/>
    </row>
    <row r="383" spans="2:17" x14ac:dyDescent="0.2">
      <c r="B383" s="104" t="s">
        <v>110</v>
      </c>
      <c r="C383" s="8">
        <f t="shared" ref="C383:Q383" si="104">SUM(C384:C386)</f>
        <v>65000</v>
      </c>
      <c r="D383" s="8">
        <f t="shared" si="104"/>
        <v>55000</v>
      </c>
      <c r="E383" s="8">
        <f t="shared" si="104"/>
        <v>127500</v>
      </c>
      <c r="F383" s="8">
        <f t="shared" si="104"/>
        <v>150000</v>
      </c>
      <c r="G383" s="8">
        <f t="shared" si="104"/>
        <v>150000</v>
      </c>
      <c r="H383" s="8">
        <f t="shared" si="104"/>
        <v>442500</v>
      </c>
      <c r="I383" s="8">
        <f t="shared" si="104"/>
        <v>427500</v>
      </c>
      <c r="J383" s="8">
        <f t="shared" si="104"/>
        <v>412500</v>
      </c>
      <c r="K383" s="8">
        <f t="shared" si="104"/>
        <v>397500</v>
      </c>
      <c r="L383" s="8">
        <f t="shared" si="104"/>
        <v>382500</v>
      </c>
      <c r="M383" s="8">
        <f t="shared" si="104"/>
        <v>367500</v>
      </c>
      <c r="N383" s="8">
        <f t="shared" si="104"/>
        <v>352500</v>
      </c>
      <c r="O383" s="8">
        <f t="shared" si="104"/>
        <v>337500</v>
      </c>
      <c r="P383" s="8">
        <f t="shared" si="104"/>
        <v>322500</v>
      </c>
      <c r="Q383" s="66">
        <f t="shared" si="104"/>
        <v>307500</v>
      </c>
    </row>
    <row r="384" spans="2:17" x14ac:dyDescent="0.2">
      <c r="B384" s="101" t="s">
        <v>118</v>
      </c>
      <c r="C384" s="102">
        <f>C481</f>
        <v>0</v>
      </c>
      <c r="D384" s="102">
        <f t="shared" ref="D384:Q384" si="105">D481</f>
        <v>0</v>
      </c>
      <c r="E384" s="102">
        <f t="shared" si="105"/>
        <v>0</v>
      </c>
      <c r="F384" s="102">
        <f t="shared" si="105"/>
        <v>0</v>
      </c>
      <c r="G384" s="102">
        <f t="shared" si="105"/>
        <v>0</v>
      </c>
      <c r="H384" s="102">
        <f t="shared" si="105"/>
        <v>300000</v>
      </c>
      <c r="I384" s="102">
        <f t="shared" si="105"/>
        <v>300000</v>
      </c>
      <c r="J384" s="102">
        <f t="shared" si="105"/>
        <v>300000</v>
      </c>
      <c r="K384" s="102">
        <f t="shared" si="105"/>
        <v>300000</v>
      </c>
      <c r="L384" s="102">
        <f t="shared" si="105"/>
        <v>300000</v>
      </c>
      <c r="M384" s="102">
        <f t="shared" si="105"/>
        <v>300000</v>
      </c>
      <c r="N384" s="102">
        <f t="shared" si="105"/>
        <v>300000</v>
      </c>
      <c r="O384" s="102">
        <f t="shared" si="105"/>
        <v>300000</v>
      </c>
      <c r="P384" s="102">
        <f t="shared" si="105"/>
        <v>300000</v>
      </c>
      <c r="Q384" s="102">
        <f t="shared" si="105"/>
        <v>300000</v>
      </c>
    </row>
    <row r="385" spans="1:17" x14ac:dyDescent="0.2">
      <c r="B385" s="101" t="s">
        <v>119</v>
      </c>
      <c r="C385" s="102">
        <f>C485</f>
        <v>5000</v>
      </c>
      <c r="D385" s="102">
        <f t="shared" ref="D385:Q385" si="106">D485</f>
        <v>55000</v>
      </c>
      <c r="E385" s="102">
        <f t="shared" si="106"/>
        <v>127500</v>
      </c>
      <c r="F385" s="102">
        <f t="shared" si="106"/>
        <v>150000</v>
      </c>
      <c r="G385" s="102">
        <f t="shared" si="106"/>
        <v>150000</v>
      </c>
      <c r="H385" s="102">
        <f t="shared" si="106"/>
        <v>142500</v>
      </c>
      <c r="I385" s="102">
        <f t="shared" si="106"/>
        <v>127500</v>
      </c>
      <c r="J385" s="102">
        <f t="shared" si="106"/>
        <v>112500</v>
      </c>
      <c r="K385" s="102">
        <f t="shared" si="106"/>
        <v>97500</v>
      </c>
      <c r="L385" s="102">
        <f t="shared" si="106"/>
        <v>82500</v>
      </c>
      <c r="M385" s="102">
        <f t="shared" si="106"/>
        <v>67500</v>
      </c>
      <c r="N385" s="102">
        <f t="shared" si="106"/>
        <v>52500</v>
      </c>
      <c r="O385" s="102">
        <f t="shared" si="106"/>
        <v>37500</v>
      </c>
      <c r="P385" s="102">
        <f t="shared" si="106"/>
        <v>22500</v>
      </c>
      <c r="Q385" s="102">
        <f t="shared" si="106"/>
        <v>7500</v>
      </c>
    </row>
    <row r="386" spans="1:17" x14ac:dyDescent="0.2">
      <c r="B386" s="101" t="s">
        <v>120</v>
      </c>
      <c r="C386" s="102">
        <f>C484</f>
        <v>60000</v>
      </c>
      <c r="D386" s="102">
        <f t="shared" ref="D386:Q386" si="107">D484</f>
        <v>0</v>
      </c>
      <c r="E386" s="102">
        <f t="shared" si="107"/>
        <v>0</v>
      </c>
      <c r="F386" s="102">
        <f t="shared" si="107"/>
        <v>0</v>
      </c>
      <c r="G386" s="102">
        <f t="shared" si="107"/>
        <v>0</v>
      </c>
      <c r="H386" s="102">
        <f t="shared" si="107"/>
        <v>0</v>
      </c>
      <c r="I386" s="102">
        <f t="shared" si="107"/>
        <v>0</v>
      </c>
      <c r="J386" s="102">
        <f t="shared" si="107"/>
        <v>0</v>
      </c>
      <c r="K386" s="102">
        <f t="shared" si="107"/>
        <v>0</v>
      </c>
      <c r="L386" s="102">
        <f t="shared" si="107"/>
        <v>0</v>
      </c>
      <c r="M386" s="102">
        <f t="shared" si="107"/>
        <v>0</v>
      </c>
      <c r="N386" s="102">
        <f t="shared" si="107"/>
        <v>0</v>
      </c>
      <c r="O386" s="102">
        <f t="shared" si="107"/>
        <v>0</v>
      </c>
      <c r="P386" s="102">
        <f t="shared" si="107"/>
        <v>0</v>
      </c>
      <c r="Q386" s="102">
        <f t="shared" si="107"/>
        <v>0</v>
      </c>
    </row>
    <row r="387" spans="1:17" x14ac:dyDescent="0.2">
      <c r="B387" s="67" t="s">
        <v>121</v>
      </c>
      <c r="C387" s="7">
        <f>C377-C383</f>
        <v>735000</v>
      </c>
      <c r="D387" s="7">
        <f t="shared" ref="D387:Q387" si="108">D377-D383</f>
        <v>1945000</v>
      </c>
      <c r="E387" s="7">
        <f t="shared" si="108"/>
        <v>6230622</v>
      </c>
      <c r="F387" s="7">
        <f t="shared" si="108"/>
        <v>-150000</v>
      </c>
      <c r="G387" s="7">
        <f t="shared" si="108"/>
        <v>-150000</v>
      </c>
      <c r="H387" s="7">
        <f t="shared" si="108"/>
        <v>-442500</v>
      </c>
      <c r="I387" s="7">
        <f t="shared" si="108"/>
        <v>-427500</v>
      </c>
      <c r="J387" s="7">
        <f t="shared" si="108"/>
        <v>-412500</v>
      </c>
      <c r="K387" s="7">
        <f t="shared" si="108"/>
        <v>202500</v>
      </c>
      <c r="L387" s="7">
        <f t="shared" si="108"/>
        <v>-382500</v>
      </c>
      <c r="M387" s="7">
        <f t="shared" si="108"/>
        <v>232500</v>
      </c>
      <c r="N387" s="7">
        <f t="shared" si="108"/>
        <v>-352500</v>
      </c>
      <c r="O387" s="7">
        <f t="shared" si="108"/>
        <v>212500</v>
      </c>
      <c r="P387" s="7">
        <f t="shared" si="108"/>
        <v>-322500</v>
      </c>
      <c r="Q387" s="64">
        <f t="shared" si="108"/>
        <v>-307500</v>
      </c>
    </row>
    <row r="388" spans="1:17" x14ac:dyDescent="0.2">
      <c r="B388" s="67" t="s">
        <v>122</v>
      </c>
      <c r="C388" s="7">
        <f t="shared" ref="C388:Q388" si="109">C371+C375+C387</f>
        <v>475876.9000000002</v>
      </c>
      <c r="D388" s="7">
        <f t="shared" si="109"/>
        <v>-1039883.0999999996</v>
      </c>
      <c r="E388" s="7">
        <f t="shared" si="109"/>
        <v>1665238.9000000004</v>
      </c>
      <c r="F388" s="7">
        <f t="shared" si="109"/>
        <v>-194205.15779999981</v>
      </c>
      <c r="G388" s="7">
        <f t="shared" si="109"/>
        <v>-194205.15779999981</v>
      </c>
      <c r="H388" s="7">
        <f t="shared" si="109"/>
        <v>-437628.09999999974</v>
      </c>
      <c r="I388" s="7">
        <f t="shared" si="109"/>
        <v>-407628.09999999974</v>
      </c>
      <c r="J388" s="7">
        <f t="shared" si="109"/>
        <v>-387496.5999999998</v>
      </c>
      <c r="K388" s="7">
        <f t="shared" si="109"/>
        <v>252371.9000000002</v>
      </c>
      <c r="L388" s="7">
        <f t="shared" si="109"/>
        <v>-317628.0999999998</v>
      </c>
      <c r="M388" s="7">
        <f t="shared" si="109"/>
        <v>312371.90000000014</v>
      </c>
      <c r="N388" s="7">
        <f t="shared" si="109"/>
        <v>-257628.09999999983</v>
      </c>
      <c r="O388" s="7">
        <f t="shared" si="109"/>
        <v>312503.40000000014</v>
      </c>
      <c r="P388" s="7">
        <f t="shared" si="109"/>
        <v>-197628.09999999983</v>
      </c>
      <c r="Q388" s="64">
        <f t="shared" si="109"/>
        <v>-167628.09999999983</v>
      </c>
    </row>
    <row r="389" spans="1:17" x14ac:dyDescent="0.2">
      <c r="B389" s="67" t="s">
        <v>123</v>
      </c>
      <c r="C389" s="153">
        <f>C351</f>
        <v>600000</v>
      </c>
      <c r="D389" s="7">
        <f>C390</f>
        <v>1075876.9000000001</v>
      </c>
      <c r="E389" s="7">
        <f t="shared" ref="E389:Q389" si="110">D390</f>
        <v>35993.800000000512</v>
      </c>
      <c r="F389" s="7">
        <f t="shared" si="110"/>
        <v>1701232.7000000009</v>
      </c>
      <c r="G389" s="7">
        <f t="shared" si="110"/>
        <v>1507027.542200001</v>
      </c>
      <c r="H389" s="7">
        <f t="shared" si="110"/>
        <v>1312822.3844000013</v>
      </c>
      <c r="I389" s="7">
        <f t="shared" si="110"/>
        <v>875194.28440000152</v>
      </c>
      <c r="J389" s="7">
        <f t="shared" si="110"/>
        <v>467566.18440000177</v>
      </c>
      <c r="K389" s="7">
        <f t="shared" si="110"/>
        <v>80069.584400001972</v>
      </c>
      <c r="L389" s="7">
        <f t="shared" si="110"/>
        <v>332441.48440000217</v>
      </c>
      <c r="M389" s="7">
        <f t="shared" si="110"/>
        <v>14813.384400002367</v>
      </c>
      <c r="N389" s="7">
        <f t="shared" si="110"/>
        <v>327185.28440000251</v>
      </c>
      <c r="O389" s="7">
        <f t="shared" si="110"/>
        <v>69557.184400002676</v>
      </c>
      <c r="P389" s="7">
        <f t="shared" si="110"/>
        <v>382060.58440000284</v>
      </c>
      <c r="Q389" s="64">
        <f t="shared" si="110"/>
        <v>184432.48440000301</v>
      </c>
    </row>
    <row r="390" spans="1:17" x14ac:dyDescent="0.2">
      <c r="B390" s="68" t="s">
        <v>124</v>
      </c>
      <c r="C390" s="69">
        <f t="shared" ref="C390:Q390" si="111">C389+C388</f>
        <v>1075876.9000000001</v>
      </c>
      <c r="D390" s="69">
        <f t="shared" si="111"/>
        <v>35993.800000000512</v>
      </c>
      <c r="E390" s="69">
        <f t="shared" si="111"/>
        <v>1701232.7000000009</v>
      </c>
      <c r="F390" s="69">
        <f t="shared" si="111"/>
        <v>1507027.542200001</v>
      </c>
      <c r="G390" s="69">
        <f t="shared" si="111"/>
        <v>1312822.3844000013</v>
      </c>
      <c r="H390" s="69">
        <f t="shared" si="111"/>
        <v>875194.28440000152</v>
      </c>
      <c r="I390" s="69">
        <f t="shared" si="111"/>
        <v>467566.18440000177</v>
      </c>
      <c r="J390" s="69">
        <f t="shared" si="111"/>
        <v>80069.584400001972</v>
      </c>
      <c r="K390" s="69">
        <f t="shared" si="111"/>
        <v>332441.48440000217</v>
      </c>
      <c r="L390" s="69">
        <f t="shared" si="111"/>
        <v>14813.384400002367</v>
      </c>
      <c r="M390" s="69">
        <f t="shared" si="111"/>
        <v>327185.28440000251</v>
      </c>
      <c r="N390" s="69">
        <f t="shared" si="111"/>
        <v>69557.184400002676</v>
      </c>
      <c r="O390" s="69">
        <f t="shared" si="111"/>
        <v>382060.58440000284</v>
      </c>
      <c r="P390" s="69">
        <f t="shared" si="111"/>
        <v>184432.48440000301</v>
      </c>
      <c r="Q390" s="70">
        <f t="shared" si="111"/>
        <v>16804.384400003182</v>
      </c>
    </row>
    <row r="394" spans="1:17" x14ac:dyDescent="0.2">
      <c r="A394" s="6" t="s">
        <v>174</v>
      </c>
      <c r="B394" s="6" t="s">
        <v>128</v>
      </c>
    </row>
    <row r="395" spans="1:17" x14ac:dyDescent="0.2">
      <c r="A395" s="99"/>
      <c r="B395" s="100" t="s">
        <v>126</v>
      </c>
      <c r="C395" s="126">
        <f t="shared" ref="C395:Q395" si="112">C$148</f>
        <v>2017</v>
      </c>
      <c r="D395" s="126">
        <f t="shared" si="112"/>
        <v>2018</v>
      </c>
      <c r="E395" s="126">
        <f t="shared" si="112"/>
        <v>2019</v>
      </c>
      <c r="F395" s="126">
        <f t="shared" si="112"/>
        <v>2020</v>
      </c>
      <c r="G395" s="126">
        <f t="shared" si="112"/>
        <v>2021</v>
      </c>
      <c r="H395" s="126">
        <f t="shared" si="112"/>
        <v>2022</v>
      </c>
      <c r="I395" s="126">
        <f t="shared" si="112"/>
        <v>2023</v>
      </c>
      <c r="J395" s="126">
        <f t="shared" si="112"/>
        <v>2024</v>
      </c>
      <c r="K395" s="126">
        <f t="shared" si="112"/>
        <v>2025</v>
      </c>
      <c r="L395" s="126">
        <f t="shared" si="112"/>
        <v>2026</v>
      </c>
      <c r="M395" s="126">
        <f t="shared" si="112"/>
        <v>2027</v>
      </c>
      <c r="N395" s="126">
        <f t="shared" si="112"/>
        <v>2028</v>
      </c>
      <c r="O395" s="126">
        <f t="shared" si="112"/>
        <v>2029</v>
      </c>
      <c r="P395" s="126">
        <f t="shared" si="112"/>
        <v>2030</v>
      </c>
      <c r="Q395" s="127">
        <f t="shared" si="112"/>
        <v>2031</v>
      </c>
    </row>
    <row r="396" spans="1:17" x14ac:dyDescent="0.2">
      <c r="B396" s="67" t="s">
        <v>95</v>
      </c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7"/>
    </row>
    <row r="397" spans="1:17" x14ac:dyDescent="0.2">
      <c r="B397" s="67" t="s">
        <v>96</v>
      </c>
      <c r="C397" s="42">
        <f>C313</f>
        <v>-65000</v>
      </c>
      <c r="D397" s="42">
        <f t="shared" ref="D397:Q397" si="113">D313</f>
        <v>-55000</v>
      </c>
      <c r="E397" s="42">
        <f t="shared" si="113"/>
        <v>-14147.996666666728</v>
      </c>
      <c r="F397" s="42">
        <f t="shared" si="113"/>
        <v>164450.94219999996</v>
      </c>
      <c r="G397" s="42">
        <f t="shared" si="113"/>
        <v>164450.94219999996</v>
      </c>
      <c r="H397" s="42">
        <f t="shared" si="113"/>
        <v>-89922</v>
      </c>
      <c r="I397" s="42">
        <f t="shared" si="113"/>
        <v>-248322</v>
      </c>
      <c r="J397" s="42">
        <f t="shared" si="113"/>
        <v>-306988.67</v>
      </c>
      <c r="K397" s="42">
        <f t="shared" si="113"/>
        <v>-329266.08250000002</v>
      </c>
      <c r="L397" s="42">
        <f t="shared" si="113"/>
        <v>-268799.42249999993</v>
      </c>
      <c r="M397" s="42">
        <f t="shared" si="113"/>
        <v>-212466.08250000002</v>
      </c>
      <c r="N397" s="42">
        <f t="shared" si="113"/>
        <v>-197466.08250000002</v>
      </c>
      <c r="O397" s="42">
        <f t="shared" si="113"/>
        <v>-182466.08250000002</v>
      </c>
      <c r="P397" s="42">
        <f t="shared" si="113"/>
        <v>-167910.16500000004</v>
      </c>
      <c r="Q397" s="42">
        <f t="shared" si="113"/>
        <v>-152910.16500000004</v>
      </c>
    </row>
    <row r="398" spans="1:17" x14ac:dyDescent="0.2">
      <c r="B398" s="67" t="s">
        <v>97</v>
      </c>
      <c r="C398" s="7">
        <f t="shared" ref="C398:Q398" si="114">SUM(C399:C408)</f>
        <v>0</v>
      </c>
      <c r="D398" s="7">
        <f t="shared" si="114"/>
        <v>0</v>
      </c>
      <c r="E398" s="7">
        <f t="shared" si="114"/>
        <v>-285352.00333333341</v>
      </c>
      <c r="F398" s="7">
        <f t="shared" si="114"/>
        <v>-428028</v>
      </c>
      <c r="G398" s="7">
        <f t="shared" si="114"/>
        <v>-428028</v>
      </c>
      <c r="H398" s="7">
        <f t="shared" si="114"/>
        <v>-124578</v>
      </c>
      <c r="I398" s="7">
        <f t="shared" si="114"/>
        <v>48822</v>
      </c>
      <c r="J398" s="7">
        <f t="shared" si="114"/>
        <v>122488.66999999998</v>
      </c>
      <c r="K398" s="7">
        <f t="shared" si="114"/>
        <v>159766.08250000002</v>
      </c>
      <c r="L398" s="7">
        <f t="shared" si="114"/>
        <v>114299.42249999993</v>
      </c>
      <c r="M398" s="7">
        <f t="shared" si="114"/>
        <v>72966.08249999999</v>
      </c>
      <c r="N398" s="7">
        <f t="shared" si="114"/>
        <v>72966.08249999999</v>
      </c>
      <c r="O398" s="7">
        <f t="shared" si="114"/>
        <v>72966.08249999999</v>
      </c>
      <c r="P398" s="7">
        <f t="shared" si="114"/>
        <v>73410.165000000008</v>
      </c>
      <c r="Q398" s="64">
        <f t="shared" si="114"/>
        <v>73410.165000000008</v>
      </c>
    </row>
    <row r="399" spans="1:17" x14ac:dyDescent="0.2">
      <c r="B399" s="101" t="s">
        <v>74</v>
      </c>
      <c r="C399" s="102">
        <f>C291</f>
        <v>0</v>
      </c>
      <c r="D399" s="102">
        <f t="shared" ref="D399:Q399" si="115">D291</f>
        <v>0</v>
      </c>
      <c r="E399" s="102">
        <f t="shared" si="115"/>
        <v>252913.33</v>
      </c>
      <c r="F399" s="102">
        <f t="shared" si="115"/>
        <v>379370</v>
      </c>
      <c r="G399" s="102">
        <f t="shared" si="115"/>
        <v>379370</v>
      </c>
      <c r="H399" s="102">
        <f t="shared" si="115"/>
        <v>379370</v>
      </c>
      <c r="I399" s="102">
        <f t="shared" si="115"/>
        <v>379370</v>
      </c>
      <c r="J399" s="102">
        <f t="shared" si="115"/>
        <v>379370</v>
      </c>
      <c r="K399" s="102">
        <f t="shared" si="115"/>
        <v>379814.08250000002</v>
      </c>
      <c r="L399" s="102">
        <f t="shared" si="115"/>
        <v>284480.75249999994</v>
      </c>
      <c r="M399" s="102">
        <f t="shared" si="115"/>
        <v>197814.08249999999</v>
      </c>
      <c r="N399" s="102">
        <f t="shared" si="115"/>
        <v>197814.08249999999</v>
      </c>
      <c r="O399" s="102">
        <f t="shared" si="115"/>
        <v>197814.08249999999</v>
      </c>
      <c r="P399" s="102">
        <f t="shared" si="115"/>
        <v>198258.16500000001</v>
      </c>
      <c r="Q399" s="102">
        <f t="shared" si="115"/>
        <v>198258.16500000001</v>
      </c>
    </row>
    <row r="400" spans="1:17" x14ac:dyDescent="0.2">
      <c r="B400" s="101" t="s">
        <v>98</v>
      </c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3"/>
    </row>
    <row r="401" spans="2:17" x14ac:dyDescent="0.2">
      <c r="B401" s="101" t="s">
        <v>99</v>
      </c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3"/>
    </row>
    <row r="402" spans="2:17" x14ac:dyDescent="0.2">
      <c r="B402" s="101" t="s">
        <v>100</v>
      </c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3"/>
    </row>
    <row r="403" spans="2:17" x14ac:dyDescent="0.2">
      <c r="B403" s="101" t="s">
        <v>101</v>
      </c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3"/>
    </row>
    <row r="404" spans="2:17" x14ac:dyDescent="0.2">
      <c r="B404" s="101" t="s">
        <v>102</v>
      </c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3"/>
    </row>
    <row r="405" spans="2:17" x14ac:dyDescent="0.2">
      <c r="B405" s="101" t="s">
        <v>103</v>
      </c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3"/>
    </row>
    <row r="406" spans="2:17" x14ac:dyDescent="0.2">
      <c r="B406" s="101" t="s">
        <v>104</v>
      </c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3"/>
    </row>
    <row r="407" spans="2:17" x14ac:dyDescent="0.2">
      <c r="B407" s="101" t="s">
        <v>105</v>
      </c>
      <c r="C407" s="102"/>
      <c r="D407" s="102"/>
      <c r="E407" s="102">
        <f>E369</f>
        <v>-538265.33333333337</v>
      </c>
      <c r="F407" s="102">
        <f t="shared" ref="F407:Q407" si="116">F369</f>
        <v>-807398</v>
      </c>
      <c r="G407" s="102">
        <f t="shared" si="116"/>
        <v>-807398</v>
      </c>
      <c r="H407" s="102">
        <f t="shared" si="116"/>
        <v>-503948</v>
      </c>
      <c r="I407" s="102">
        <f t="shared" si="116"/>
        <v>-330548</v>
      </c>
      <c r="J407" s="102">
        <f t="shared" si="116"/>
        <v>-256881.33000000002</v>
      </c>
      <c r="K407" s="102">
        <f t="shared" si="116"/>
        <v>-220048</v>
      </c>
      <c r="L407" s="102">
        <f t="shared" si="116"/>
        <v>-170181.33000000002</v>
      </c>
      <c r="M407" s="102">
        <f t="shared" si="116"/>
        <v>-124848</v>
      </c>
      <c r="N407" s="102">
        <f t="shared" si="116"/>
        <v>-124848</v>
      </c>
      <c r="O407" s="102">
        <f t="shared" si="116"/>
        <v>-124848</v>
      </c>
      <c r="P407" s="102">
        <f t="shared" si="116"/>
        <v>-124848</v>
      </c>
      <c r="Q407" s="102">
        <f t="shared" si="116"/>
        <v>-124848</v>
      </c>
    </row>
    <row r="408" spans="2:17" x14ac:dyDescent="0.2">
      <c r="B408" s="101" t="s">
        <v>106</v>
      </c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3"/>
    </row>
    <row r="409" spans="2:17" x14ac:dyDescent="0.2">
      <c r="B409" s="67" t="s">
        <v>107</v>
      </c>
      <c r="C409" s="7">
        <f>C398+C397</f>
        <v>-65000</v>
      </c>
      <c r="D409" s="7">
        <f t="shared" ref="D409:Q409" si="117">D398+D397</f>
        <v>-55000</v>
      </c>
      <c r="E409" s="7">
        <f t="shared" si="117"/>
        <v>-299500.00000000012</v>
      </c>
      <c r="F409" s="7">
        <f t="shared" si="117"/>
        <v>-263577.05780000007</v>
      </c>
      <c r="G409" s="7">
        <f t="shared" si="117"/>
        <v>-263577.05780000007</v>
      </c>
      <c r="H409" s="7">
        <f t="shared" si="117"/>
        <v>-214500</v>
      </c>
      <c r="I409" s="7">
        <f t="shared" si="117"/>
        <v>-199500</v>
      </c>
      <c r="J409" s="7">
        <f t="shared" si="117"/>
        <v>-184500</v>
      </c>
      <c r="K409" s="7">
        <f t="shared" si="117"/>
        <v>-169500</v>
      </c>
      <c r="L409" s="7">
        <f t="shared" si="117"/>
        <v>-154500</v>
      </c>
      <c r="M409" s="7">
        <f t="shared" si="117"/>
        <v>-139500.00000000003</v>
      </c>
      <c r="N409" s="7">
        <f t="shared" si="117"/>
        <v>-124500.00000000003</v>
      </c>
      <c r="O409" s="7">
        <f t="shared" si="117"/>
        <v>-109500.00000000003</v>
      </c>
      <c r="P409" s="7">
        <f t="shared" si="117"/>
        <v>-94500.000000000029</v>
      </c>
      <c r="Q409" s="64">
        <f t="shared" si="117"/>
        <v>-79500.000000000029</v>
      </c>
    </row>
    <row r="410" spans="2:17" x14ac:dyDescent="0.2">
      <c r="B410" s="67" t="s">
        <v>108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66"/>
    </row>
    <row r="411" spans="2:17" x14ac:dyDescent="0.2">
      <c r="B411" s="104" t="s">
        <v>109</v>
      </c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3"/>
    </row>
    <row r="412" spans="2:17" x14ac:dyDescent="0.2">
      <c r="B412" s="104" t="s">
        <v>110</v>
      </c>
      <c r="C412" s="102">
        <f>C374</f>
        <v>413495</v>
      </c>
      <c r="D412" s="102">
        <f t="shared" ref="D412:Q412" si="118">D374</f>
        <v>3149255</v>
      </c>
      <c r="E412" s="102">
        <f t="shared" si="118"/>
        <v>4485255</v>
      </c>
      <c r="F412" s="102">
        <f t="shared" si="118"/>
        <v>0</v>
      </c>
      <c r="G412" s="102">
        <f t="shared" si="118"/>
        <v>0</v>
      </c>
      <c r="H412" s="102">
        <f t="shared" si="118"/>
        <v>0</v>
      </c>
      <c r="I412" s="102">
        <f t="shared" si="118"/>
        <v>0</v>
      </c>
      <c r="J412" s="102">
        <f t="shared" si="118"/>
        <v>9868.5</v>
      </c>
      <c r="K412" s="102">
        <f t="shared" si="118"/>
        <v>0</v>
      </c>
      <c r="L412" s="102">
        <f t="shared" si="118"/>
        <v>0</v>
      </c>
      <c r="M412" s="102">
        <f t="shared" si="118"/>
        <v>0</v>
      </c>
      <c r="N412" s="102">
        <f t="shared" si="118"/>
        <v>0</v>
      </c>
      <c r="O412" s="102">
        <f t="shared" si="118"/>
        <v>9868.5</v>
      </c>
      <c r="P412" s="102">
        <f t="shared" si="118"/>
        <v>0</v>
      </c>
      <c r="Q412" s="102">
        <f t="shared" si="118"/>
        <v>0</v>
      </c>
    </row>
    <row r="413" spans="2:17" x14ac:dyDescent="0.2">
      <c r="B413" s="67" t="s">
        <v>111</v>
      </c>
      <c r="C413" s="7">
        <f t="shared" ref="C413:Q413" si="119">C411-C412</f>
        <v>-413495</v>
      </c>
      <c r="D413" s="7">
        <f t="shared" si="119"/>
        <v>-3149255</v>
      </c>
      <c r="E413" s="7">
        <f t="shared" si="119"/>
        <v>-4485255</v>
      </c>
      <c r="F413" s="7">
        <f t="shared" si="119"/>
        <v>0</v>
      </c>
      <c r="G413" s="7">
        <f t="shared" si="119"/>
        <v>0</v>
      </c>
      <c r="H413" s="7">
        <f t="shared" si="119"/>
        <v>0</v>
      </c>
      <c r="I413" s="7">
        <f t="shared" si="119"/>
        <v>0</v>
      </c>
      <c r="J413" s="7">
        <f t="shared" si="119"/>
        <v>-9868.5</v>
      </c>
      <c r="K413" s="7">
        <f t="shared" si="119"/>
        <v>0</v>
      </c>
      <c r="L413" s="7">
        <f t="shared" si="119"/>
        <v>0</v>
      </c>
      <c r="M413" s="7">
        <f t="shared" si="119"/>
        <v>0</v>
      </c>
      <c r="N413" s="7">
        <f t="shared" si="119"/>
        <v>0</v>
      </c>
      <c r="O413" s="7">
        <f t="shared" si="119"/>
        <v>-9868.5</v>
      </c>
      <c r="P413" s="7">
        <f t="shared" si="119"/>
        <v>0</v>
      </c>
      <c r="Q413" s="64">
        <f t="shared" si="119"/>
        <v>0</v>
      </c>
    </row>
    <row r="414" spans="2:17" x14ac:dyDescent="0.2">
      <c r="B414" s="67" t="s">
        <v>112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64"/>
    </row>
    <row r="415" spans="2:17" x14ac:dyDescent="0.2">
      <c r="B415" s="104" t="s">
        <v>109</v>
      </c>
      <c r="C415" s="8">
        <f t="shared" ref="C415:Q415" si="120">SUM(C416:C420)</f>
        <v>800000</v>
      </c>
      <c r="D415" s="8">
        <f t="shared" si="120"/>
        <v>2000000</v>
      </c>
      <c r="E415" s="8">
        <f t="shared" si="120"/>
        <v>6358122</v>
      </c>
      <c r="F415" s="8">
        <f t="shared" si="120"/>
        <v>0</v>
      </c>
      <c r="G415" s="8">
        <f t="shared" si="120"/>
        <v>0</v>
      </c>
      <c r="H415" s="8">
        <f t="shared" si="120"/>
        <v>0</v>
      </c>
      <c r="I415" s="8">
        <f t="shared" si="120"/>
        <v>0</v>
      </c>
      <c r="J415" s="8">
        <f t="shared" si="120"/>
        <v>0</v>
      </c>
      <c r="K415" s="8">
        <f t="shared" si="120"/>
        <v>600000</v>
      </c>
      <c r="L415" s="8">
        <f t="shared" si="120"/>
        <v>0</v>
      </c>
      <c r="M415" s="8">
        <f t="shared" si="120"/>
        <v>600000</v>
      </c>
      <c r="N415" s="8">
        <f t="shared" si="120"/>
        <v>0</v>
      </c>
      <c r="O415" s="8">
        <f t="shared" si="120"/>
        <v>550000</v>
      </c>
      <c r="P415" s="8">
        <f t="shared" si="120"/>
        <v>0</v>
      </c>
      <c r="Q415" s="66">
        <f t="shared" si="120"/>
        <v>0</v>
      </c>
    </row>
    <row r="416" spans="2:17" x14ac:dyDescent="0.2">
      <c r="B416" s="101" t="s">
        <v>113</v>
      </c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3"/>
    </row>
    <row r="417" spans="1:17" x14ac:dyDescent="0.2">
      <c r="B417" s="101" t="s">
        <v>114</v>
      </c>
      <c r="C417" s="102">
        <f>C379</f>
        <v>100000</v>
      </c>
      <c r="D417" s="102">
        <f t="shared" ref="D417:E417" si="121">D379</f>
        <v>2000000</v>
      </c>
      <c r="E417" s="102">
        <f t="shared" si="121"/>
        <v>900000</v>
      </c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3"/>
    </row>
    <row r="418" spans="1:17" x14ac:dyDescent="0.2">
      <c r="B418" s="101" t="s">
        <v>115</v>
      </c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3"/>
    </row>
    <row r="419" spans="1:17" x14ac:dyDescent="0.2">
      <c r="B419" s="101" t="s">
        <v>116</v>
      </c>
      <c r="C419" s="102"/>
      <c r="D419" s="102"/>
      <c r="E419" s="102">
        <f>E381</f>
        <v>5458122</v>
      </c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3"/>
    </row>
    <row r="420" spans="1:17" x14ac:dyDescent="0.2">
      <c r="B420" s="101" t="s">
        <v>117</v>
      </c>
      <c r="C420" s="102">
        <f>C382</f>
        <v>700000</v>
      </c>
      <c r="D420" s="102">
        <f t="shared" ref="D420:Q420" si="122">D382</f>
        <v>0</v>
      </c>
      <c r="E420" s="102">
        <f t="shared" si="122"/>
        <v>0</v>
      </c>
      <c r="F420" s="102">
        <f t="shared" si="122"/>
        <v>0</v>
      </c>
      <c r="G420" s="102">
        <f t="shared" si="122"/>
        <v>0</v>
      </c>
      <c r="H420" s="102">
        <f t="shared" si="122"/>
        <v>0</v>
      </c>
      <c r="I420" s="102">
        <f t="shared" si="122"/>
        <v>0</v>
      </c>
      <c r="J420" s="102">
        <f t="shared" si="122"/>
        <v>0</v>
      </c>
      <c r="K420" s="102">
        <f t="shared" si="122"/>
        <v>600000</v>
      </c>
      <c r="L420" s="102">
        <f t="shared" si="122"/>
        <v>0</v>
      </c>
      <c r="M420" s="102">
        <f t="shared" si="122"/>
        <v>600000</v>
      </c>
      <c r="N420" s="102">
        <f t="shared" si="122"/>
        <v>0</v>
      </c>
      <c r="O420" s="102">
        <f t="shared" si="122"/>
        <v>550000</v>
      </c>
      <c r="P420" s="102">
        <f t="shared" si="122"/>
        <v>0</v>
      </c>
      <c r="Q420" s="102">
        <f t="shared" si="122"/>
        <v>0</v>
      </c>
    </row>
    <row r="421" spans="1:17" x14ac:dyDescent="0.2">
      <c r="B421" s="104" t="s">
        <v>110</v>
      </c>
      <c r="C421" s="8">
        <f t="shared" ref="C421:Q421" si="123">SUM(C422:C424)</f>
        <v>65000</v>
      </c>
      <c r="D421" s="8">
        <f t="shared" si="123"/>
        <v>55000</v>
      </c>
      <c r="E421" s="8">
        <f t="shared" si="123"/>
        <v>127500</v>
      </c>
      <c r="F421" s="8">
        <f t="shared" si="123"/>
        <v>150000</v>
      </c>
      <c r="G421" s="8">
        <f t="shared" si="123"/>
        <v>150000</v>
      </c>
      <c r="H421" s="8">
        <f t="shared" si="123"/>
        <v>442500</v>
      </c>
      <c r="I421" s="8">
        <f t="shared" si="123"/>
        <v>427500</v>
      </c>
      <c r="J421" s="8">
        <f t="shared" si="123"/>
        <v>412500</v>
      </c>
      <c r="K421" s="8">
        <f t="shared" si="123"/>
        <v>397500</v>
      </c>
      <c r="L421" s="8">
        <f t="shared" si="123"/>
        <v>382500</v>
      </c>
      <c r="M421" s="8">
        <f t="shared" si="123"/>
        <v>367500</v>
      </c>
      <c r="N421" s="8">
        <f t="shared" si="123"/>
        <v>352500</v>
      </c>
      <c r="O421" s="8">
        <f t="shared" si="123"/>
        <v>337500</v>
      </c>
      <c r="P421" s="8">
        <f t="shared" si="123"/>
        <v>322500</v>
      </c>
      <c r="Q421" s="66">
        <f t="shared" si="123"/>
        <v>307500</v>
      </c>
    </row>
    <row r="422" spans="1:17" x14ac:dyDescent="0.2">
      <c r="B422" s="101" t="s">
        <v>118</v>
      </c>
      <c r="C422" s="102">
        <f>C384</f>
        <v>0</v>
      </c>
      <c r="D422" s="102">
        <f t="shared" ref="D422:Q422" si="124">D384</f>
        <v>0</v>
      </c>
      <c r="E422" s="102">
        <f t="shared" si="124"/>
        <v>0</v>
      </c>
      <c r="F422" s="102">
        <f t="shared" si="124"/>
        <v>0</v>
      </c>
      <c r="G422" s="102">
        <f t="shared" si="124"/>
        <v>0</v>
      </c>
      <c r="H422" s="102">
        <f t="shared" si="124"/>
        <v>300000</v>
      </c>
      <c r="I422" s="102">
        <f t="shared" si="124"/>
        <v>300000</v>
      </c>
      <c r="J422" s="102">
        <f t="shared" si="124"/>
        <v>300000</v>
      </c>
      <c r="K422" s="102">
        <f t="shared" si="124"/>
        <v>300000</v>
      </c>
      <c r="L422" s="102">
        <f t="shared" si="124"/>
        <v>300000</v>
      </c>
      <c r="M422" s="102">
        <f t="shared" si="124"/>
        <v>300000</v>
      </c>
      <c r="N422" s="102">
        <f t="shared" si="124"/>
        <v>300000</v>
      </c>
      <c r="O422" s="102">
        <f t="shared" si="124"/>
        <v>300000</v>
      </c>
      <c r="P422" s="102">
        <f t="shared" si="124"/>
        <v>300000</v>
      </c>
      <c r="Q422" s="102">
        <f t="shared" si="124"/>
        <v>300000</v>
      </c>
    </row>
    <row r="423" spans="1:17" x14ac:dyDescent="0.2">
      <c r="B423" s="101" t="s">
        <v>119</v>
      </c>
      <c r="C423" s="102">
        <f t="shared" ref="C423:Q424" si="125">C385</f>
        <v>5000</v>
      </c>
      <c r="D423" s="102">
        <f t="shared" si="125"/>
        <v>55000</v>
      </c>
      <c r="E423" s="102">
        <f t="shared" si="125"/>
        <v>127500</v>
      </c>
      <c r="F423" s="102">
        <f t="shared" si="125"/>
        <v>150000</v>
      </c>
      <c r="G423" s="102">
        <f t="shared" si="125"/>
        <v>150000</v>
      </c>
      <c r="H423" s="102">
        <f t="shared" si="125"/>
        <v>142500</v>
      </c>
      <c r="I423" s="102">
        <f t="shared" si="125"/>
        <v>127500</v>
      </c>
      <c r="J423" s="102">
        <f t="shared" si="125"/>
        <v>112500</v>
      </c>
      <c r="K423" s="102">
        <f t="shared" si="125"/>
        <v>97500</v>
      </c>
      <c r="L423" s="102">
        <f t="shared" si="125"/>
        <v>82500</v>
      </c>
      <c r="M423" s="102">
        <f t="shared" si="125"/>
        <v>67500</v>
      </c>
      <c r="N423" s="102">
        <f t="shared" si="125"/>
        <v>52500</v>
      </c>
      <c r="O423" s="102">
        <f t="shared" si="125"/>
        <v>37500</v>
      </c>
      <c r="P423" s="102">
        <f t="shared" si="125"/>
        <v>22500</v>
      </c>
      <c r="Q423" s="102">
        <f t="shared" si="125"/>
        <v>7500</v>
      </c>
    </row>
    <row r="424" spans="1:17" x14ac:dyDescent="0.2">
      <c r="B424" s="101" t="s">
        <v>120</v>
      </c>
      <c r="C424" s="102">
        <f t="shared" si="125"/>
        <v>60000</v>
      </c>
      <c r="D424" s="102">
        <f t="shared" si="125"/>
        <v>0</v>
      </c>
      <c r="E424" s="102">
        <f t="shared" si="125"/>
        <v>0</v>
      </c>
      <c r="F424" s="102">
        <f t="shared" si="125"/>
        <v>0</v>
      </c>
      <c r="G424" s="102">
        <f t="shared" si="125"/>
        <v>0</v>
      </c>
      <c r="H424" s="102">
        <f t="shared" si="125"/>
        <v>0</v>
      </c>
      <c r="I424" s="102">
        <f t="shared" si="125"/>
        <v>0</v>
      </c>
      <c r="J424" s="102">
        <f t="shared" si="125"/>
        <v>0</v>
      </c>
      <c r="K424" s="102">
        <f t="shared" si="125"/>
        <v>0</v>
      </c>
      <c r="L424" s="102">
        <f t="shared" si="125"/>
        <v>0</v>
      </c>
      <c r="M424" s="102">
        <f t="shared" si="125"/>
        <v>0</v>
      </c>
      <c r="N424" s="102">
        <f t="shared" si="125"/>
        <v>0</v>
      </c>
      <c r="O424" s="102">
        <f t="shared" si="125"/>
        <v>0</v>
      </c>
      <c r="P424" s="102">
        <f t="shared" si="125"/>
        <v>0</v>
      </c>
      <c r="Q424" s="102">
        <f t="shared" si="125"/>
        <v>0</v>
      </c>
    </row>
    <row r="425" spans="1:17" x14ac:dyDescent="0.2">
      <c r="B425" s="67" t="s">
        <v>121</v>
      </c>
      <c r="C425" s="7">
        <f>C415-C421</f>
        <v>735000</v>
      </c>
      <c r="D425" s="7">
        <f t="shared" ref="D425:Q425" si="126">D415-D421</f>
        <v>1945000</v>
      </c>
      <c r="E425" s="7">
        <f t="shared" si="126"/>
        <v>6230622</v>
      </c>
      <c r="F425" s="7">
        <f t="shared" si="126"/>
        <v>-150000</v>
      </c>
      <c r="G425" s="7">
        <f t="shared" si="126"/>
        <v>-150000</v>
      </c>
      <c r="H425" s="7">
        <f t="shared" si="126"/>
        <v>-442500</v>
      </c>
      <c r="I425" s="7">
        <f t="shared" si="126"/>
        <v>-427500</v>
      </c>
      <c r="J425" s="7">
        <f t="shared" si="126"/>
        <v>-412500</v>
      </c>
      <c r="K425" s="7">
        <f t="shared" si="126"/>
        <v>202500</v>
      </c>
      <c r="L425" s="7">
        <f t="shared" si="126"/>
        <v>-382500</v>
      </c>
      <c r="M425" s="7">
        <f t="shared" si="126"/>
        <v>232500</v>
      </c>
      <c r="N425" s="7">
        <f t="shared" si="126"/>
        <v>-352500</v>
      </c>
      <c r="O425" s="7">
        <f t="shared" si="126"/>
        <v>212500</v>
      </c>
      <c r="P425" s="7">
        <f t="shared" si="126"/>
        <v>-322500</v>
      </c>
      <c r="Q425" s="64">
        <f t="shared" si="126"/>
        <v>-307500</v>
      </c>
    </row>
    <row r="426" spans="1:17" x14ac:dyDescent="0.2">
      <c r="B426" s="67" t="s">
        <v>122</v>
      </c>
      <c r="C426" s="7">
        <f t="shared" ref="C426:Q426" si="127">C409+C413+C425</f>
        <v>256505</v>
      </c>
      <c r="D426" s="7">
        <f t="shared" si="127"/>
        <v>-1259255</v>
      </c>
      <c r="E426" s="7">
        <f t="shared" si="127"/>
        <v>1445867</v>
      </c>
      <c r="F426" s="7">
        <f t="shared" si="127"/>
        <v>-413577.05780000007</v>
      </c>
      <c r="G426" s="7">
        <f t="shared" si="127"/>
        <v>-413577.05780000007</v>
      </c>
      <c r="H426" s="7">
        <f t="shared" si="127"/>
        <v>-657000</v>
      </c>
      <c r="I426" s="7">
        <f t="shared" si="127"/>
        <v>-627000</v>
      </c>
      <c r="J426" s="7">
        <f t="shared" si="127"/>
        <v>-606868.5</v>
      </c>
      <c r="K426" s="7">
        <f t="shared" si="127"/>
        <v>33000</v>
      </c>
      <c r="L426" s="7">
        <f t="shared" si="127"/>
        <v>-537000</v>
      </c>
      <c r="M426" s="7">
        <f t="shared" si="127"/>
        <v>92999.999999999971</v>
      </c>
      <c r="N426" s="7">
        <f t="shared" si="127"/>
        <v>-477000</v>
      </c>
      <c r="O426" s="7">
        <f t="shared" si="127"/>
        <v>93131.499999999971</v>
      </c>
      <c r="P426" s="7">
        <f t="shared" si="127"/>
        <v>-417000</v>
      </c>
      <c r="Q426" s="64">
        <f t="shared" si="127"/>
        <v>-387000</v>
      </c>
    </row>
    <row r="427" spans="1:17" x14ac:dyDescent="0.2">
      <c r="B427" s="67" t="s">
        <v>123</v>
      </c>
      <c r="C427" s="7">
        <f>C389-C351</f>
        <v>0</v>
      </c>
      <c r="D427" s="7">
        <f t="shared" ref="D427:N427" si="128">C428</f>
        <v>256505</v>
      </c>
      <c r="E427" s="7">
        <f t="shared" si="128"/>
        <v>-1002750</v>
      </c>
      <c r="F427" s="7">
        <f t="shared" si="128"/>
        <v>443117</v>
      </c>
      <c r="G427" s="7">
        <f t="shared" si="128"/>
        <v>29539.942199999932</v>
      </c>
      <c r="H427" s="7">
        <f t="shared" si="128"/>
        <v>-384037.11560000014</v>
      </c>
      <c r="I427" s="7">
        <f t="shared" si="128"/>
        <v>-1041037.1156000001</v>
      </c>
      <c r="J427" s="7">
        <f t="shared" si="128"/>
        <v>-1668037.1156000001</v>
      </c>
      <c r="K427" s="7">
        <f t="shared" si="128"/>
        <v>-2274905.6156000001</v>
      </c>
      <c r="L427" s="7">
        <f t="shared" si="128"/>
        <v>-2241905.6156000001</v>
      </c>
      <c r="M427" s="7">
        <f t="shared" si="128"/>
        <v>-2778905.6156000001</v>
      </c>
      <c r="N427" s="7">
        <f t="shared" si="128"/>
        <v>-2685905.6156000001</v>
      </c>
      <c r="O427" s="7">
        <f>N428</f>
        <v>-3162905.6156000001</v>
      </c>
      <c r="P427" s="7">
        <f>O428</f>
        <v>-3069774.1156000001</v>
      </c>
      <c r="Q427" s="64">
        <f>P428</f>
        <v>-3486774.1156000001</v>
      </c>
    </row>
    <row r="428" spans="1:17" x14ac:dyDescent="0.2">
      <c r="B428" s="68" t="s">
        <v>124</v>
      </c>
      <c r="C428" s="69">
        <f t="shared" ref="C428:Q428" si="129">C427+C426</f>
        <v>256505</v>
      </c>
      <c r="D428" s="69">
        <f t="shared" si="129"/>
        <v>-1002750</v>
      </c>
      <c r="E428" s="69">
        <f t="shared" si="129"/>
        <v>443117</v>
      </c>
      <c r="F428" s="69">
        <f t="shared" si="129"/>
        <v>29539.942199999932</v>
      </c>
      <c r="G428" s="69">
        <f t="shared" si="129"/>
        <v>-384037.11560000014</v>
      </c>
      <c r="H428" s="69">
        <f t="shared" si="129"/>
        <v>-1041037.1156000001</v>
      </c>
      <c r="I428" s="69">
        <f t="shared" si="129"/>
        <v>-1668037.1156000001</v>
      </c>
      <c r="J428" s="69">
        <f t="shared" si="129"/>
        <v>-2274905.6156000001</v>
      </c>
      <c r="K428" s="69">
        <f t="shared" si="129"/>
        <v>-2241905.6156000001</v>
      </c>
      <c r="L428" s="69">
        <f t="shared" si="129"/>
        <v>-2778905.6156000001</v>
      </c>
      <c r="M428" s="69">
        <f t="shared" si="129"/>
        <v>-2685905.6156000001</v>
      </c>
      <c r="N428" s="69">
        <f t="shared" si="129"/>
        <v>-3162905.6156000001</v>
      </c>
      <c r="O428" s="69">
        <f t="shared" si="129"/>
        <v>-3069774.1156000001</v>
      </c>
      <c r="P428" s="69">
        <f t="shared" si="129"/>
        <v>-3486774.1156000001</v>
      </c>
      <c r="Q428" s="70">
        <f t="shared" si="129"/>
        <v>-3873774.1156000001</v>
      </c>
    </row>
    <row r="432" spans="1:17" x14ac:dyDescent="0.2">
      <c r="A432" s="6" t="s">
        <v>175</v>
      </c>
      <c r="B432" s="6" t="s">
        <v>84</v>
      </c>
    </row>
    <row r="433" spans="1:17" x14ac:dyDescent="0.2">
      <c r="B433" s="106" t="s">
        <v>85</v>
      </c>
      <c r="C433" s="107"/>
    </row>
    <row r="434" spans="1:17" x14ac:dyDescent="0.2">
      <c r="B434" s="41" t="s">
        <v>129</v>
      </c>
      <c r="C434" s="60">
        <f>Q426</f>
        <v>-387000</v>
      </c>
      <c r="D434" s="4">
        <f>-C434</f>
        <v>387000</v>
      </c>
      <c r="E434" t="s">
        <v>245</v>
      </c>
      <c r="F434" t="s">
        <v>246</v>
      </c>
      <c r="I434" t="s">
        <v>247</v>
      </c>
      <c r="J434" s="154">
        <f>D434*28</f>
        <v>10836000</v>
      </c>
      <c r="K434" s="154">
        <f>J434</f>
        <v>10836000</v>
      </c>
    </row>
    <row r="435" spans="1:17" x14ac:dyDescent="0.2">
      <c r="B435" s="50" t="s">
        <v>86</v>
      </c>
      <c r="C435" s="72"/>
    </row>
    <row r="439" spans="1:17" x14ac:dyDescent="0.2">
      <c r="A439" s="6" t="s">
        <v>176</v>
      </c>
      <c r="B439" s="6" t="s">
        <v>130</v>
      </c>
    </row>
    <row r="440" spans="1:17" x14ac:dyDescent="0.2">
      <c r="B440" s="9" t="s">
        <v>131</v>
      </c>
      <c r="C440" s="126">
        <f t="shared" ref="C440:Q440" si="130">C$395</f>
        <v>2017</v>
      </c>
      <c r="D440" s="126">
        <f t="shared" si="130"/>
        <v>2018</v>
      </c>
      <c r="E440" s="126">
        <f t="shared" si="130"/>
        <v>2019</v>
      </c>
      <c r="F440" s="126">
        <f t="shared" si="130"/>
        <v>2020</v>
      </c>
      <c r="G440" s="126">
        <f t="shared" si="130"/>
        <v>2021</v>
      </c>
      <c r="H440" s="126">
        <f t="shared" si="130"/>
        <v>2022</v>
      </c>
      <c r="I440" s="126">
        <f t="shared" si="130"/>
        <v>2023</v>
      </c>
      <c r="J440" s="126">
        <f t="shared" si="130"/>
        <v>2024</v>
      </c>
      <c r="K440" s="126">
        <f t="shared" si="130"/>
        <v>2025</v>
      </c>
      <c r="L440" s="126">
        <f t="shared" si="130"/>
        <v>2026</v>
      </c>
      <c r="M440" s="126">
        <f t="shared" si="130"/>
        <v>2027</v>
      </c>
      <c r="N440" s="126">
        <f t="shared" si="130"/>
        <v>2028</v>
      </c>
      <c r="O440" s="126">
        <f t="shared" si="130"/>
        <v>2029</v>
      </c>
      <c r="P440" s="126">
        <f t="shared" si="130"/>
        <v>2030</v>
      </c>
      <c r="Q440" s="127">
        <f t="shared" si="130"/>
        <v>2031</v>
      </c>
    </row>
    <row r="441" spans="1:17" x14ac:dyDescent="0.2">
      <c r="B441" s="44" t="s">
        <v>109</v>
      </c>
      <c r="C441" s="45">
        <f>C442+C443</f>
        <v>0</v>
      </c>
      <c r="D441" s="45">
        <f t="shared" ref="D441:Q441" si="131">D442+D443</f>
        <v>0</v>
      </c>
      <c r="E441" s="45">
        <f t="shared" si="131"/>
        <v>50000</v>
      </c>
      <c r="F441" s="45">
        <f t="shared" si="131"/>
        <v>150000</v>
      </c>
      <c r="G441" s="45">
        <f t="shared" si="131"/>
        <v>150000</v>
      </c>
      <c r="H441" s="45">
        <f t="shared" si="131"/>
        <v>150000</v>
      </c>
      <c r="I441" s="45">
        <f t="shared" si="131"/>
        <v>150000</v>
      </c>
      <c r="J441" s="45">
        <f t="shared" si="131"/>
        <v>150000</v>
      </c>
      <c r="K441" s="45">
        <f t="shared" si="131"/>
        <v>150000</v>
      </c>
      <c r="L441" s="45">
        <f t="shared" si="131"/>
        <v>150000</v>
      </c>
      <c r="M441" s="45">
        <f t="shared" si="131"/>
        <v>150000</v>
      </c>
      <c r="N441" s="45">
        <f t="shared" si="131"/>
        <v>150000</v>
      </c>
      <c r="O441" s="45">
        <f t="shared" si="131"/>
        <v>150000</v>
      </c>
      <c r="P441" s="45">
        <f t="shared" si="131"/>
        <v>150000</v>
      </c>
      <c r="Q441" s="43">
        <f t="shared" si="131"/>
        <v>150000</v>
      </c>
    </row>
    <row r="442" spans="1:17" x14ac:dyDescent="0.2">
      <c r="B442" s="53" t="s">
        <v>132</v>
      </c>
      <c r="C442" s="42">
        <f>C289</f>
        <v>0</v>
      </c>
      <c r="D442" s="42">
        <f t="shared" ref="D442:Q442" si="132">D289</f>
        <v>0</v>
      </c>
      <c r="E442" s="42">
        <f t="shared" ref="E442:Q442" si="133">E289</f>
        <v>50000</v>
      </c>
      <c r="F442" s="42">
        <f t="shared" si="133"/>
        <v>150000</v>
      </c>
      <c r="G442" s="42">
        <f t="shared" si="133"/>
        <v>150000</v>
      </c>
      <c r="H442" s="42">
        <f t="shared" si="133"/>
        <v>150000</v>
      </c>
      <c r="I442" s="42">
        <f t="shared" si="133"/>
        <v>150000</v>
      </c>
      <c r="J442" s="42">
        <f t="shared" si="133"/>
        <v>150000</v>
      </c>
      <c r="K442" s="42">
        <f t="shared" si="133"/>
        <v>150000</v>
      </c>
      <c r="L442" s="42">
        <f t="shared" si="133"/>
        <v>150000</v>
      </c>
      <c r="M442" s="42">
        <f t="shared" si="133"/>
        <v>150000</v>
      </c>
      <c r="N442" s="42">
        <f t="shared" si="133"/>
        <v>150000</v>
      </c>
      <c r="O442" s="42">
        <f t="shared" si="133"/>
        <v>150000</v>
      </c>
      <c r="P442" s="42">
        <f t="shared" si="133"/>
        <v>150000</v>
      </c>
      <c r="Q442" s="60">
        <f t="shared" si="133"/>
        <v>150000</v>
      </c>
    </row>
    <row r="443" spans="1:17" x14ac:dyDescent="0.2">
      <c r="B443" s="53" t="s">
        <v>133</v>
      </c>
      <c r="C443" s="42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155"/>
    </row>
    <row r="444" spans="1:17" x14ac:dyDescent="0.2">
      <c r="B444" s="41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7"/>
    </row>
    <row r="445" spans="1:17" x14ac:dyDescent="0.2">
      <c r="B445" s="44" t="s">
        <v>110</v>
      </c>
      <c r="C445" s="45">
        <f>C446+C447+C448</f>
        <v>413495</v>
      </c>
      <c r="D445" s="45">
        <f t="shared" ref="D445:Q445" si="134">D446+D447+D448</f>
        <v>3149255</v>
      </c>
      <c r="E445" s="45">
        <f t="shared" si="134"/>
        <v>4707255</v>
      </c>
      <c r="F445" s="45">
        <f t="shared" si="134"/>
        <v>222000</v>
      </c>
      <c r="G445" s="45">
        <f t="shared" si="134"/>
        <v>222000</v>
      </c>
      <c r="H445" s="45">
        <f t="shared" si="134"/>
        <v>222000</v>
      </c>
      <c r="I445" s="45">
        <f t="shared" si="134"/>
        <v>222000</v>
      </c>
      <c r="J445" s="45">
        <f t="shared" si="134"/>
        <v>231868.5</v>
      </c>
      <c r="K445" s="45">
        <f t="shared" si="134"/>
        <v>222000</v>
      </c>
      <c r="L445" s="45">
        <f t="shared" si="134"/>
        <v>222000</v>
      </c>
      <c r="M445" s="45">
        <f t="shared" si="134"/>
        <v>222000.00000000003</v>
      </c>
      <c r="N445" s="45">
        <f t="shared" si="134"/>
        <v>222000.00000000003</v>
      </c>
      <c r="O445" s="45">
        <f t="shared" si="134"/>
        <v>231868.50000000003</v>
      </c>
      <c r="P445" s="45">
        <f t="shared" si="134"/>
        <v>222000.00000000003</v>
      </c>
      <c r="Q445" s="43">
        <f t="shared" si="134"/>
        <v>222000.00000000003</v>
      </c>
    </row>
    <row r="446" spans="1:17" x14ac:dyDescent="0.2">
      <c r="B446" s="53" t="s">
        <v>134</v>
      </c>
      <c r="C446" s="42">
        <f>C374</f>
        <v>413495</v>
      </c>
      <c r="D446" s="42">
        <f>D374</f>
        <v>3149255</v>
      </c>
      <c r="E446" s="42">
        <f>E374</f>
        <v>4485255</v>
      </c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60"/>
    </row>
    <row r="447" spans="1:17" x14ac:dyDescent="0.2">
      <c r="B447" s="53" t="s">
        <v>135</v>
      </c>
      <c r="C447" s="42">
        <f t="shared" ref="C447:Q447" si="135">(C290-C291)</f>
        <v>0</v>
      </c>
      <c r="D447" s="42">
        <f t="shared" si="135"/>
        <v>0</v>
      </c>
      <c r="E447" s="42">
        <f t="shared" si="135"/>
        <v>222000.00000000009</v>
      </c>
      <c r="F447" s="42">
        <f t="shared" si="135"/>
        <v>222000</v>
      </c>
      <c r="G447" s="42">
        <f t="shared" si="135"/>
        <v>222000</v>
      </c>
      <c r="H447" s="42">
        <f t="shared" si="135"/>
        <v>222000</v>
      </c>
      <c r="I447" s="42">
        <f t="shared" si="135"/>
        <v>222000</v>
      </c>
      <c r="J447" s="42">
        <f t="shared" si="135"/>
        <v>222000</v>
      </c>
      <c r="K447" s="42">
        <f t="shared" si="135"/>
        <v>222000</v>
      </c>
      <c r="L447" s="42">
        <f t="shared" si="135"/>
        <v>222000</v>
      </c>
      <c r="M447" s="42">
        <f t="shared" si="135"/>
        <v>222000.00000000003</v>
      </c>
      <c r="N447" s="42">
        <f t="shared" si="135"/>
        <v>222000.00000000003</v>
      </c>
      <c r="O447" s="42">
        <f t="shared" si="135"/>
        <v>222000.00000000003</v>
      </c>
      <c r="P447" s="42">
        <f t="shared" si="135"/>
        <v>222000.00000000003</v>
      </c>
      <c r="Q447" s="42">
        <f t="shared" si="135"/>
        <v>222000.00000000003</v>
      </c>
    </row>
    <row r="448" spans="1:17" x14ac:dyDescent="0.2">
      <c r="B448" s="53" t="s">
        <v>136</v>
      </c>
      <c r="C448" s="42">
        <f>C165</f>
        <v>0</v>
      </c>
      <c r="D448" s="42">
        <f t="shared" ref="D448:Q448" si="136">D165</f>
        <v>0</v>
      </c>
      <c r="E448" s="42">
        <f t="shared" si="136"/>
        <v>0</v>
      </c>
      <c r="F448" s="42">
        <f t="shared" si="136"/>
        <v>0</v>
      </c>
      <c r="G448" s="42">
        <f t="shared" si="136"/>
        <v>0</v>
      </c>
      <c r="H448" s="42">
        <f t="shared" si="136"/>
        <v>0</v>
      </c>
      <c r="I448" s="42">
        <f t="shared" si="136"/>
        <v>0</v>
      </c>
      <c r="J448" s="42">
        <f t="shared" si="136"/>
        <v>9868.5</v>
      </c>
      <c r="K448" s="42">
        <f t="shared" si="136"/>
        <v>0</v>
      </c>
      <c r="L448" s="42">
        <f t="shared" si="136"/>
        <v>0</v>
      </c>
      <c r="M448" s="42">
        <f t="shared" si="136"/>
        <v>0</v>
      </c>
      <c r="N448" s="42">
        <f t="shared" si="136"/>
        <v>0</v>
      </c>
      <c r="O448" s="42">
        <f t="shared" si="136"/>
        <v>9868.5</v>
      </c>
      <c r="P448" s="42">
        <f t="shared" si="136"/>
        <v>0</v>
      </c>
      <c r="Q448" s="60">
        <f t="shared" si="136"/>
        <v>0</v>
      </c>
    </row>
    <row r="449" spans="1:17" x14ac:dyDescent="0.2">
      <c r="B449" s="41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7"/>
    </row>
    <row r="450" spans="1:17" x14ac:dyDescent="0.2">
      <c r="B450" s="44" t="s">
        <v>137</v>
      </c>
      <c r="C450" s="45">
        <f>C441-C445</f>
        <v>-413495</v>
      </c>
      <c r="D450" s="45">
        <f t="shared" ref="D450:Q450" si="137">D441-D445</f>
        <v>-3149255</v>
      </c>
      <c r="E450" s="45">
        <f t="shared" si="137"/>
        <v>-4657255</v>
      </c>
      <c r="F450" s="45">
        <f t="shared" si="137"/>
        <v>-72000</v>
      </c>
      <c r="G450" s="45">
        <f t="shared" si="137"/>
        <v>-72000</v>
      </c>
      <c r="H450" s="45">
        <f t="shared" si="137"/>
        <v>-72000</v>
      </c>
      <c r="I450" s="45">
        <f t="shared" si="137"/>
        <v>-72000</v>
      </c>
      <c r="J450" s="45">
        <f t="shared" si="137"/>
        <v>-81868.5</v>
      </c>
      <c r="K450" s="45">
        <f t="shared" si="137"/>
        <v>-72000</v>
      </c>
      <c r="L450" s="45">
        <f t="shared" si="137"/>
        <v>-72000</v>
      </c>
      <c r="M450" s="45">
        <f t="shared" si="137"/>
        <v>-72000.000000000029</v>
      </c>
      <c r="N450" s="45">
        <f t="shared" si="137"/>
        <v>-72000.000000000029</v>
      </c>
      <c r="O450" s="45">
        <f t="shared" si="137"/>
        <v>-81868.500000000029</v>
      </c>
      <c r="P450" s="45">
        <f t="shared" si="137"/>
        <v>-72000.000000000029</v>
      </c>
      <c r="Q450" s="45">
        <f t="shared" si="137"/>
        <v>-72000.000000000029</v>
      </c>
    </row>
    <row r="451" spans="1:17" x14ac:dyDescent="0.2">
      <c r="B451" s="41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7"/>
    </row>
    <row r="452" spans="1:17" x14ac:dyDescent="0.2">
      <c r="B452" s="44" t="s">
        <v>138</v>
      </c>
      <c r="C452" s="45">
        <f>NPV(4%,D450:Q450)+C450</f>
        <v>-8385927.9728263626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7"/>
    </row>
    <row r="453" spans="1:17" x14ac:dyDescent="0.2">
      <c r="B453" s="86" t="s">
        <v>139</v>
      </c>
      <c r="C453" s="108" t="e">
        <f>IRR(C450:Q450)</f>
        <v>#NUM!</v>
      </c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2"/>
    </row>
    <row r="457" spans="1:17" x14ac:dyDescent="0.2">
      <c r="A457" s="6" t="s">
        <v>177</v>
      </c>
      <c r="B457" s="6" t="s">
        <v>140</v>
      </c>
    </row>
    <row r="458" spans="1:17" x14ac:dyDescent="0.2">
      <c r="B458" s="9" t="s">
        <v>141</v>
      </c>
      <c r="C458" s="126">
        <f t="shared" ref="C458:Q458" si="138">C$395</f>
        <v>2017</v>
      </c>
      <c r="D458" s="126">
        <f t="shared" si="138"/>
        <v>2018</v>
      </c>
      <c r="E458" s="126">
        <f t="shared" si="138"/>
        <v>2019</v>
      </c>
      <c r="F458" s="126">
        <f t="shared" si="138"/>
        <v>2020</v>
      </c>
      <c r="G458" s="126">
        <f t="shared" si="138"/>
        <v>2021</v>
      </c>
      <c r="H458" s="126">
        <f t="shared" si="138"/>
        <v>2022</v>
      </c>
      <c r="I458" s="126">
        <f t="shared" si="138"/>
        <v>2023</v>
      </c>
      <c r="J458" s="126">
        <f t="shared" si="138"/>
        <v>2024</v>
      </c>
      <c r="K458" s="126">
        <f t="shared" si="138"/>
        <v>2025</v>
      </c>
      <c r="L458" s="126">
        <f t="shared" si="138"/>
        <v>2026</v>
      </c>
      <c r="M458" s="126">
        <f t="shared" si="138"/>
        <v>2027</v>
      </c>
      <c r="N458" s="126">
        <f t="shared" si="138"/>
        <v>2028</v>
      </c>
      <c r="O458" s="126">
        <f t="shared" si="138"/>
        <v>2029</v>
      </c>
      <c r="P458" s="126">
        <f t="shared" si="138"/>
        <v>2030</v>
      </c>
      <c r="Q458" s="127">
        <f t="shared" si="138"/>
        <v>2031</v>
      </c>
    </row>
    <row r="459" spans="1:17" x14ac:dyDescent="0.2">
      <c r="B459" s="41" t="s">
        <v>0</v>
      </c>
      <c r="C459" s="42">
        <f>C446</f>
        <v>413495</v>
      </c>
      <c r="D459" s="42">
        <f t="shared" ref="D459:Q459" si="139">D446</f>
        <v>3149255</v>
      </c>
      <c r="E459" s="42">
        <f t="shared" si="139"/>
        <v>4485255</v>
      </c>
      <c r="F459" s="42">
        <f t="shared" si="139"/>
        <v>0</v>
      </c>
      <c r="G459" s="42">
        <f t="shared" si="139"/>
        <v>0</v>
      </c>
      <c r="H459" s="42">
        <f t="shared" si="139"/>
        <v>0</v>
      </c>
      <c r="I459" s="42">
        <f t="shared" si="139"/>
        <v>0</v>
      </c>
      <c r="J459" s="42">
        <f t="shared" si="139"/>
        <v>0</v>
      </c>
      <c r="K459" s="42">
        <f t="shared" si="139"/>
        <v>0</v>
      </c>
      <c r="L459" s="42">
        <f t="shared" si="139"/>
        <v>0</v>
      </c>
      <c r="M459" s="42">
        <f t="shared" si="139"/>
        <v>0</v>
      </c>
      <c r="N459" s="42">
        <f t="shared" si="139"/>
        <v>0</v>
      </c>
      <c r="O459" s="42">
        <f t="shared" si="139"/>
        <v>0</v>
      </c>
      <c r="P459" s="42">
        <f t="shared" si="139"/>
        <v>0</v>
      </c>
      <c r="Q459" s="42">
        <f t="shared" si="139"/>
        <v>0</v>
      </c>
    </row>
    <row r="460" spans="1:17" x14ac:dyDescent="0.2">
      <c r="B460" s="41" t="s">
        <v>142</v>
      </c>
      <c r="C460" s="42">
        <f>C442</f>
        <v>0</v>
      </c>
      <c r="D460" s="42">
        <f t="shared" ref="D460:Q460" si="140">D442</f>
        <v>0</v>
      </c>
      <c r="E460" s="42">
        <f t="shared" si="140"/>
        <v>50000</v>
      </c>
      <c r="F460" s="42">
        <f t="shared" si="140"/>
        <v>150000</v>
      </c>
      <c r="G460" s="42">
        <f t="shared" si="140"/>
        <v>150000</v>
      </c>
      <c r="H460" s="42">
        <f t="shared" si="140"/>
        <v>150000</v>
      </c>
      <c r="I460" s="42">
        <f t="shared" si="140"/>
        <v>150000</v>
      </c>
      <c r="J460" s="42">
        <f t="shared" si="140"/>
        <v>150000</v>
      </c>
      <c r="K460" s="42">
        <f t="shared" si="140"/>
        <v>150000</v>
      </c>
      <c r="L460" s="42">
        <f t="shared" si="140"/>
        <v>150000</v>
      </c>
      <c r="M460" s="42">
        <f t="shared" si="140"/>
        <v>150000</v>
      </c>
      <c r="N460" s="42">
        <f t="shared" si="140"/>
        <v>150000</v>
      </c>
      <c r="O460" s="42">
        <f t="shared" si="140"/>
        <v>150000</v>
      </c>
      <c r="P460" s="42">
        <f t="shared" si="140"/>
        <v>150000</v>
      </c>
      <c r="Q460" s="42">
        <f t="shared" si="140"/>
        <v>150000</v>
      </c>
    </row>
    <row r="461" spans="1:17" x14ac:dyDescent="0.2">
      <c r="B461" s="41" t="s">
        <v>143</v>
      </c>
      <c r="C461" s="42">
        <f>C447+C448</f>
        <v>0</v>
      </c>
      <c r="D461" s="42">
        <f t="shared" ref="D461:Q461" si="141">D447+D448</f>
        <v>0</v>
      </c>
      <c r="E461" s="42">
        <f t="shared" si="141"/>
        <v>222000.00000000009</v>
      </c>
      <c r="F461" s="42">
        <f t="shared" si="141"/>
        <v>222000</v>
      </c>
      <c r="G461" s="42">
        <f t="shared" si="141"/>
        <v>222000</v>
      </c>
      <c r="H461" s="42">
        <f t="shared" si="141"/>
        <v>222000</v>
      </c>
      <c r="I461" s="42">
        <f t="shared" si="141"/>
        <v>222000</v>
      </c>
      <c r="J461" s="42">
        <f t="shared" si="141"/>
        <v>231868.5</v>
      </c>
      <c r="K461" s="42">
        <f t="shared" si="141"/>
        <v>222000</v>
      </c>
      <c r="L461" s="42">
        <f t="shared" si="141"/>
        <v>222000</v>
      </c>
      <c r="M461" s="42">
        <f t="shared" si="141"/>
        <v>222000.00000000003</v>
      </c>
      <c r="N461" s="42">
        <f t="shared" si="141"/>
        <v>222000.00000000003</v>
      </c>
      <c r="O461" s="42">
        <f t="shared" si="141"/>
        <v>231868.50000000003</v>
      </c>
      <c r="P461" s="42">
        <f t="shared" si="141"/>
        <v>222000.00000000003</v>
      </c>
      <c r="Q461" s="42">
        <f t="shared" si="141"/>
        <v>222000.00000000003</v>
      </c>
    </row>
    <row r="462" spans="1:17" x14ac:dyDescent="0.2">
      <c r="B462" s="41" t="s">
        <v>84</v>
      </c>
      <c r="C462" s="42">
        <f>C443</f>
        <v>0</v>
      </c>
      <c r="D462" s="42">
        <f t="shared" ref="D462:Q462" si="142">D443</f>
        <v>0</v>
      </c>
      <c r="E462" s="42">
        <f t="shared" si="142"/>
        <v>0</v>
      </c>
      <c r="F462" s="42">
        <f t="shared" si="142"/>
        <v>0</v>
      </c>
      <c r="G462" s="42">
        <f t="shared" si="142"/>
        <v>0</v>
      </c>
      <c r="H462" s="42">
        <f t="shared" si="142"/>
        <v>0</v>
      </c>
      <c r="I462" s="42">
        <f t="shared" si="142"/>
        <v>0</v>
      </c>
      <c r="J462" s="42">
        <f t="shared" si="142"/>
        <v>0</v>
      </c>
      <c r="K462" s="42">
        <f t="shared" si="142"/>
        <v>0</v>
      </c>
      <c r="L462" s="42">
        <f t="shared" si="142"/>
        <v>0</v>
      </c>
      <c r="M462" s="42">
        <f t="shared" si="142"/>
        <v>0</v>
      </c>
      <c r="N462" s="42">
        <f t="shared" si="142"/>
        <v>0</v>
      </c>
      <c r="O462" s="42">
        <f t="shared" si="142"/>
        <v>0</v>
      </c>
      <c r="P462" s="42">
        <f t="shared" si="142"/>
        <v>0</v>
      </c>
      <c r="Q462" s="42">
        <f t="shared" si="142"/>
        <v>0</v>
      </c>
    </row>
    <row r="463" spans="1:17" x14ac:dyDescent="0.2">
      <c r="B463" s="44" t="s">
        <v>144</v>
      </c>
      <c r="C463" s="45">
        <f>NPV(4%,D459:Q459)+C459</f>
        <v>7588495.1849112418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7"/>
    </row>
    <row r="464" spans="1:17" x14ac:dyDescent="0.2">
      <c r="B464" s="41" t="s">
        <v>145</v>
      </c>
      <c r="C464" s="63">
        <f>NPV(4%,D460:Q460)+C460</f>
        <v>1347782.0488856821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7"/>
    </row>
    <row r="465" spans="1:17" x14ac:dyDescent="0.2">
      <c r="B465" s="41" t="s">
        <v>153</v>
      </c>
      <c r="C465" s="63">
        <f>NPV(4%,D461:Q461)+C461</f>
        <v>2145214.836800802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7"/>
    </row>
    <row r="466" spans="1:17" x14ac:dyDescent="0.2">
      <c r="B466" s="41" t="s">
        <v>146</v>
      </c>
      <c r="C466" s="63">
        <f>NPV(4%,D462:Q462)+C462</f>
        <v>0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7"/>
    </row>
    <row r="467" spans="1:17" x14ac:dyDescent="0.2">
      <c r="B467" s="44" t="s">
        <v>154</v>
      </c>
      <c r="C467" s="45">
        <f>C464-C465+C466</f>
        <v>-797432.7879151199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7"/>
    </row>
    <row r="468" spans="1:17" x14ac:dyDescent="0.2">
      <c r="B468" s="44" t="s">
        <v>147</v>
      </c>
      <c r="C468" s="45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7"/>
    </row>
    <row r="469" spans="1:17" x14ac:dyDescent="0.2">
      <c r="B469" s="44" t="s">
        <v>148</v>
      </c>
      <c r="C469" s="109">
        <f>IF(((C463-C467)/C463)&gt;1,1,(C463-C467)/C463)</f>
        <v>1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7"/>
    </row>
    <row r="470" spans="1:17" x14ac:dyDescent="0.2">
      <c r="B470" s="44" t="s">
        <v>149</v>
      </c>
      <c r="C470" s="45">
        <f>F51</f>
        <v>6421320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7"/>
    </row>
    <row r="471" spans="1:17" x14ac:dyDescent="0.2">
      <c r="B471" s="44" t="s">
        <v>150</v>
      </c>
      <c r="C471" s="45">
        <f>C469*C470</f>
        <v>6421320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7"/>
    </row>
    <row r="472" spans="1:17" x14ac:dyDescent="0.2">
      <c r="B472" s="44" t="s">
        <v>151</v>
      </c>
      <c r="C472" s="110">
        <v>0.85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</row>
    <row r="473" spans="1:17" x14ac:dyDescent="0.2">
      <c r="B473" s="44" t="s">
        <v>152</v>
      </c>
      <c r="C473" s="45">
        <f>C471*C472</f>
        <v>5458122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7"/>
    </row>
    <row r="474" spans="1:17" x14ac:dyDescent="0.2">
      <c r="B474" s="111" t="s">
        <v>155</v>
      </c>
      <c r="C474" s="112">
        <f>C473/C470</f>
        <v>0.85</v>
      </c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2"/>
    </row>
    <row r="478" spans="1:17" x14ac:dyDescent="0.2">
      <c r="A478" s="6"/>
      <c r="B478" s="6" t="s">
        <v>237</v>
      </c>
      <c r="C478" s="131">
        <f t="shared" ref="C478:Q478" si="143">C$395</f>
        <v>2017</v>
      </c>
      <c r="D478" s="131">
        <f t="shared" si="143"/>
        <v>2018</v>
      </c>
      <c r="E478" s="131">
        <f t="shared" si="143"/>
        <v>2019</v>
      </c>
      <c r="F478" s="131">
        <f t="shared" si="143"/>
        <v>2020</v>
      </c>
      <c r="G478" s="131">
        <f t="shared" si="143"/>
        <v>2021</v>
      </c>
      <c r="H478" s="131">
        <f t="shared" si="143"/>
        <v>2022</v>
      </c>
      <c r="I478" s="131">
        <f t="shared" si="143"/>
        <v>2023</v>
      </c>
      <c r="J478" s="131">
        <f t="shared" si="143"/>
        <v>2024</v>
      </c>
      <c r="K478" s="131">
        <f t="shared" si="143"/>
        <v>2025</v>
      </c>
      <c r="L478" s="131">
        <f t="shared" si="143"/>
        <v>2026</v>
      </c>
      <c r="M478" s="131">
        <f t="shared" si="143"/>
        <v>2027</v>
      </c>
      <c r="N478" s="131">
        <f t="shared" si="143"/>
        <v>2028</v>
      </c>
      <c r="O478" s="131">
        <f t="shared" si="143"/>
        <v>2029</v>
      </c>
      <c r="P478" s="131">
        <f t="shared" si="143"/>
        <v>2030</v>
      </c>
      <c r="Q478" s="132">
        <f t="shared" si="143"/>
        <v>2031</v>
      </c>
    </row>
    <row r="479" spans="1:17" x14ac:dyDescent="0.2">
      <c r="B479" t="s">
        <v>238</v>
      </c>
      <c r="C479" s="4">
        <v>3000000</v>
      </c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x14ac:dyDescent="0.2">
      <c r="B480" t="s">
        <v>239</v>
      </c>
      <c r="C480" s="4">
        <v>100000</v>
      </c>
      <c r="D480" s="4">
        <v>2000000</v>
      </c>
      <c r="E480" s="4">
        <v>900000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x14ac:dyDescent="0.2">
      <c r="B481" t="s">
        <v>240</v>
      </c>
      <c r="C481" s="4"/>
      <c r="D481" s="4"/>
      <c r="E481" s="4"/>
      <c r="F481" s="4"/>
      <c r="G481" s="4"/>
      <c r="H481" s="4">
        <f t="shared" ref="H481:Q481" si="144">300000</f>
        <v>300000</v>
      </c>
      <c r="I481" s="4">
        <f t="shared" si="144"/>
        <v>300000</v>
      </c>
      <c r="J481" s="4">
        <f t="shared" si="144"/>
        <v>300000</v>
      </c>
      <c r="K481" s="4">
        <f t="shared" si="144"/>
        <v>300000</v>
      </c>
      <c r="L481" s="4">
        <f t="shared" si="144"/>
        <v>300000</v>
      </c>
      <c r="M481" s="4">
        <f t="shared" si="144"/>
        <v>300000</v>
      </c>
      <c r="N481" s="4">
        <f t="shared" si="144"/>
        <v>300000</v>
      </c>
      <c r="O481" s="4">
        <f t="shared" si="144"/>
        <v>300000</v>
      </c>
      <c r="P481" s="4">
        <f t="shared" si="144"/>
        <v>300000</v>
      </c>
      <c r="Q481" s="4">
        <f t="shared" si="144"/>
        <v>300000</v>
      </c>
    </row>
    <row r="482" spans="2:17" x14ac:dyDescent="0.2">
      <c r="B482" t="s">
        <v>243</v>
      </c>
      <c r="C482" s="4">
        <f>C480-C481</f>
        <v>100000</v>
      </c>
      <c r="D482" s="4">
        <f>C482+D480-D481</f>
        <v>2100000</v>
      </c>
      <c r="E482" s="4">
        <f t="shared" ref="E482:Q482" si="145">D482+E480-E481</f>
        <v>3000000</v>
      </c>
      <c r="F482" s="4">
        <f t="shared" si="145"/>
        <v>3000000</v>
      </c>
      <c r="G482" s="4">
        <f t="shared" si="145"/>
        <v>3000000</v>
      </c>
      <c r="H482" s="4">
        <f t="shared" si="145"/>
        <v>2700000</v>
      </c>
      <c r="I482" s="4">
        <f t="shared" si="145"/>
        <v>2400000</v>
      </c>
      <c r="J482" s="4">
        <f t="shared" si="145"/>
        <v>2100000</v>
      </c>
      <c r="K482" s="4">
        <f t="shared" si="145"/>
        <v>1800000</v>
      </c>
      <c r="L482" s="4">
        <f t="shared" si="145"/>
        <v>1500000</v>
      </c>
      <c r="M482" s="4">
        <f t="shared" si="145"/>
        <v>1200000</v>
      </c>
      <c r="N482" s="4">
        <f t="shared" si="145"/>
        <v>900000</v>
      </c>
      <c r="O482" s="4">
        <f t="shared" si="145"/>
        <v>600000</v>
      </c>
      <c r="P482" s="4">
        <f t="shared" si="145"/>
        <v>300000</v>
      </c>
      <c r="Q482" s="4">
        <f t="shared" si="145"/>
        <v>0</v>
      </c>
    </row>
    <row r="483" spans="2:17" x14ac:dyDescent="0.2">
      <c r="B483" t="s">
        <v>241</v>
      </c>
      <c r="C483" s="151">
        <f>5%</f>
        <v>0.05</v>
      </c>
      <c r="D483" s="151">
        <f>5%</f>
        <v>0.05</v>
      </c>
      <c r="E483" s="151">
        <f>5%</f>
        <v>0.05</v>
      </c>
      <c r="F483" s="151">
        <f>5%</f>
        <v>0.05</v>
      </c>
      <c r="G483" s="151">
        <f>5%</f>
        <v>0.05</v>
      </c>
      <c r="H483" s="151">
        <f>5%</f>
        <v>0.05</v>
      </c>
      <c r="I483" s="151">
        <f>5%</f>
        <v>0.05</v>
      </c>
      <c r="J483" s="151">
        <f>5%</f>
        <v>0.05</v>
      </c>
      <c r="K483" s="151">
        <f>5%</f>
        <v>0.05</v>
      </c>
      <c r="L483" s="151">
        <f>5%</f>
        <v>0.05</v>
      </c>
      <c r="M483" s="151">
        <f>5%</f>
        <v>0.05</v>
      </c>
      <c r="N483" s="151">
        <f>5%</f>
        <v>0.05</v>
      </c>
      <c r="O483" s="151">
        <f>5%</f>
        <v>0.05</v>
      </c>
      <c r="P483" s="151">
        <f>5%</f>
        <v>0.05</v>
      </c>
      <c r="Q483" s="151">
        <f>5%</f>
        <v>0.05</v>
      </c>
    </row>
    <row r="484" spans="2:17" x14ac:dyDescent="0.2">
      <c r="B484" t="s">
        <v>244</v>
      </c>
      <c r="C484" s="4">
        <f>ROUND(2%*C479,2)</f>
        <v>60000</v>
      </c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x14ac:dyDescent="0.2">
      <c r="B485" t="s">
        <v>242</v>
      </c>
      <c r="C485" s="4">
        <f>ROUND(C483*C482,2)</f>
        <v>5000</v>
      </c>
      <c r="D485" s="4">
        <f>ROUND(AVERAGE(C482:D482)*D483,2)</f>
        <v>55000</v>
      </c>
      <c r="E485" s="4">
        <f t="shared" ref="E485:Q485" si="146">ROUND(AVERAGE(D482:E482)*E483,2)</f>
        <v>127500</v>
      </c>
      <c r="F485" s="4">
        <f t="shared" si="146"/>
        <v>150000</v>
      </c>
      <c r="G485" s="4">
        <f t="shared" si="146"/>
        <v>150000</v>
      </c>
      <c r="H485" s="4">
        <f t="shared" si="146"/>
        <v>142500</v>
      </c>
      <c r="I485" s="4">
        <f t="shared" si="146"/>
        <v>127500</v>
      </c>
      <c r="J485" s="4">
        <f t="shared" si="146"/>
        <v>112500</v>
      </c>
      <c r="K485" s="4">
        <f t="shared" si="146"/>
        <v>97500</v>
      </c>
      <c r="L485" s="4">
        <f t="shared" si="146"/>
        <v>82500</v>
      </c>
      <c r="M485" s="4">
        <f t="shared" si="146"/>
        <v>67500</v>
      </c>
      <c r="N485" s="4">
        <f t="shared" si="146"/>
        <v>52500</v>
      </c>
      <c r="O485" s="4">
        <f t="shared" si="146"/>
        <v>37500</v>
      </c>
      <c r="P485" s="4">
        <f t="shared" si="146"/>
        <v>22500</v>
      </c>
      <c r="Q485" s="4">
        <f t="shared" si="146"/>
        <v>7500</v>
      </c>
    </row>
    <row r="486" spans="2:17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1048576" spans="18:18" x14ac:dyDescent="0.2">
      <c r="R1048576" s="4"/>
    </row>
  </sheetData>
  <mergeCells count="5">
    <mergeCell ref="C130:C132"/>
    <mergeCell ref="C134:C136"/>
    <mergeCell ref="C138:C140"/>
    <mergeCell ref="C142:C143"/>
    <mergeCell ref="B2:C2"/>
  </mergeCells>
  <conditionalFormatting sqref="E177:Q177">
    <cfRule type="cellIs" dxfId="4" priority="4" operator="lessThan">
      <formula>0</formula>
    </cfRule>
  </conditionalFormatting>
  <conditionalFormatting sqref="C390:Q390">
    <cfRule type="cellIs" dxfId="3" priority="3" operator="lessThan">
      <formula>0</formula>
    </cfRule>
  </conditionalFormatting>
  <conditionalFormatting sqref="C428:Q428">
    <cfRule type="cellIs" dxfId="2" priority="1" operator="lessThan">
      <formula>0</formula>
    </cfRule>
    <cfRule type="cellIs" dxfId="1" priority="2" operator="greaterThan">
      <formula>0</formula>
    </cfRule>
  </conditionalFormatting>
  <dataValidations disablePrompts="1" count="1">
    <dataValidation type="list" allowBlank="1" showInputMessage="1" showErrorMessage="1" promptTitle="Info" prompt="Proszę wstawić (T)ak lub (N)ie" sqref="C3">
      <formula1>$A$1:$A$2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5"/>
  <sheetViews>
    <sheetView topLeftCell="A28" zoomScale="220" zoomScaleNormal="220" workbookViewId="0">
      <selection activeCell="C39" sqref="C39"/>
    </sheetView>
  </sheetViews>
  <sheetFormatPr defaultRowHeight="12" x14ac:dyDescent="0.2"/>
  <cols>
    <col min="2" max="2" width="49.5" customWidth="1"/>
    <col min="3" max="3" width="12.6640625" bestFit="1" customWidth="1"/>
    <col min="4" max="4" width="12.33203125" bestFit="1" customWidth="1"/>
    <col min="5" max="7" width="11.6640625" bestFit="1" customWidth="1"/>
    <col min="8" max="17" width="12.33203125" bestFit="1" customWidth="1"/>
  </cols>
  <sheetData>
    <row r="4" spans="1:17" x14ac:dyDescent="0.2">
      <c r="A4" s="6" t="s">
        <v>178</v>
      </c>
      <c r="B4" s="6" t="s">
        <v>183</v>
      </c>
    </row>
    <row r="5" spans="1:17" x14ac:dyDescent="0.2">
      <c r="B5" s="9" t="s">
        <v>183</v>
      </c>
      <c r="C5" s="126">
        <v>2017</v>
      </c>
      <c r="D5" s="126">
        <v>2018</v>
      </c>
      <c r="E5" s="126">
        <v>2019</v>
      </c>
      <c r="F5" s="126">
        <v>2020</v>
      </c>
      <c r="G5" s="126">
        <v>2021</v>
      </c>
      <c r="H5" s="126">
        <v>2022</v>
      </c>
      <c r="I5" s="126">
        <v>2023</v>
      </c>
      <c r="J5" s="126">
        <v>2024</v>
      </c>
      <c r="K5" s="126">
        <v>2025</v>
      </c>
      <c r="L5" s="126">
        <v>2026</v>
      </c>
      <c r="M5" s="126">
        <v>2027</v>
      </c>
      <c r="N5" s="126">
        <v>2028</v>
      </c>
      <c r="O5" s="126">
        <v>2029</v>
      </c>
      <c r="P5" s="126">
        <v>2030</v>
      </c>
      <c r="Q5" s="127">
        <v>2031</v>
      </c>
    </row>
    <row r="6" spans="1:17" x14ac:dyDescent="0.2">
      <c r="B6" s="53" t="s">
        <v>209</v>
      </c>
      <c r="C6" s="42"/>
      <c r="D6" s="42"/>
      <c r="E6" s="42">
        <f>880000</f>
        <v>880000</v>
      </c>
      <c r="F6" s="42">
        <f>E6</f>
        <v>880000</v>
      </c>
      <c r="G6" s="42">
        <f t="shared" ref="G6:Q6" si="0">F6</f>
        <v>880000</v>
      </c>
      <c r="H6" s="42">
        <f t="shared" si="0"/>
        <v>880000</v>
      </c>
      <c r="I6" s="42">
        <f t="shared" si="0"/>
        <v>880000</v>
      </c>
      <c r="J6" s="42">
        <f t="shared" si="0"/>
        <v>880000</v>
      </c>
      <c r="K6" s="42">
        <f t="shared" si="0"/>
        <v>880000</v>
      </c>
      <c r="L6" s="42">
        <f t="shared" si="0"/>
        <v>880000</v>
      </c>
      <c r="M6" s="42">
        <f t="shared" si="0"/>
        <v>880000</v>
      </c>
      <c r="N6" s="42">
        <f t="shared" si="0"/>
        <v>880000</v>
      </c>
      <c r="O6" s="42">
        <f t="shared" si="0"/>
        <v>880000</v>
      </c>
      <c r="P6" s="42">
        <f t="shared" si="0"/>
        <v>880000</v>
      </c>
      <c r="Q6" s="42">
        <f t="shared" si="0"/>
        <v>880000</v>
      </c>
    </row>
    <row r="7" spans="1:17" x14ac:dyDescent="0.2">
      <c r="B7" s="53" t="s">
        <v>209</v>
      </c>
      <c r="C7" s="42"/>
      <c r="D7" s="42"/>
      <c r="E7" s="42">
        <v>245000</v>
      </c>
      <c r="F7" s="42">
        <f>E7</f>
        <v>245000</v>
      </c>
      <c r="G7" s="42">
        <f t="shared" ref="G7:Q7" si="1">F7</f>
        <v>245000</v>
      </c>
      <c r="H7" s="42">
        <f t="shared" si="1"/>
        <v>245000</v>
      </c>
      <c r="I7" s="42">
        <f t="shared" si="1"/>
        <v>245000</v>
      </c>
      <c r="J7" s="42">
        <f t="shared" si="1"/>
        <v>245000</v>
      </c>
      <c r="K7" s="42">
        <f t="shared" si="1"/>
        <v>245000</v>
      </c>
      <c r="L7" s="42">
        <f t="shared" si="1"/>
        <v>245000</v>
      </c>
      <c r="M7" s="42">
        <f t="shared" si="1"/>
        <v>245000</v>
      </c>
      <c r="N7" s="42">
        <f t="shared" si="1"/>
        <v>245000</v>
      </c>
      <c r="O7" s="42">
        <f t="shared" si="1"/>
        <v>245000</v>
      </c>
      <c r="P7" s="42">
        <f t="shared" si="1"/>
        <v>245000</v>
      </c>
      <c r="Q7" s="42">
        <f t="shared" si="1"/>
        <v>245000</v>
      </c>
    </row>
    <row r="8" spans="1:17" x14ac:dyDescent="0.2">
      <c r="B8" s="54" t="s">
        <v>209</v>
      </c>
      <c r="C8" s="71"/>
      <c r="D8" s="71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61"/>
    </row>
    <row r="12" spans="1:17" x14ac:dyDescent="0.2">
      <c r="A12" s="6" t="s">
        <v>179</v>
      </c>
      <c r="B12" s="6" t="s">
        <v>184</v>
      </c>
    </row>
    <row r="13" spans="1:17" x14ac:dyDescent="0.2">
      <c r="B13" s="9" t="s">
        <v>184</v>
      </c>
      <c r="C13" s="126">
        <v>2017</v>
      </c>
      <c r="D13" s="126">
        <v>2018</v>
      </c>
      <c r="E13" s="126">
        <v>2019</v>
      </c>
      <c r="F13" s="126">
        <v>2020</v>
      </c>
      <c r="G13" s="126">
        <v>2021</v>
      </c>
      <c r="H13" s="126">
        <v>2022</v>
      </c>
      <c r="I13" s="126">
        <v>2023</v>
      </c>
      <c r="J13" s="126">
        <v>2024</v>
      </c>
      <c r="K13" s="126">
        <v>2025</v>
      </c>
      <c r="L13" s="126">
        <v>2026</v>
      </c>
      <c r="M13" s="126">
        <v>2027</v>
      </c>
      <c r="N13" s="126">
        <v>2028</v>
      </c>
      <c r="O13" s="126">
        <v>2029</v>
      </c>
      <c r="P13" s="126">
        <v>2030</v>
      </c>
      <c r="Q13" s="127">
        <v>2031</v>
      </c>
    </row>
    <row r="14" spans="1:17" x14ac:dyDescent="0.2">
      <c r="B14" s="53" t="s">
        <v>209</v>
      </c>
      <c r="C14" s="42"/>
      <c r="D14" s="42"/>
      <c r="E14" s="42">
        <f>0.8*6000</f>
        <v>4800</v>
      </c>
      <c r="F14" s="42">
        <f>E14</f>
        <v>4800</v>
      </c>
      <c r="G14" s="42">
        <f t="shared" ref="G14:Q14" si="2">F14</f>
        <v>4800</v>
      </c>
      <c r="H14" s="42">
        <f t="shared" si="2"/>
        <v>4800</v>
      </c>
      <c r="I14" s="42">
        <f t="shared" si="2"/>
        <v>4800</v>
      </c>
      <c r="J14" s="42">
        <f t="shared" si="2"/>
        <v>4800</v>
      </c>
      <c r="K14" s="42">
        <f t="shared" si="2"/>
        <v>4800</v>
      </c>
      <c r="L14" s="42">
        <f t="shared" si="2"/>
        <v>4800</v>
      </c>
      <c r="M14" s="42">
        <f t="shared" si="2"/>
        <v>4800</v>
      </c>
      <c r="N14" s="42">
        <f t="shared" si="2"/>
        <v>4800</v>
      </c>
      <c r="O14" s="42">
        <f t="shared" si="2"/>
        <v>4800</v>
      </c>
      <c r="P14" s="42">
        <f t="shared" si="2"/>
        <v>4800</v>
      </c>
      <c r="Q14" s="42">
        <f t="shared" si="2"/>
        <v>4800</v>
      </c>
    </row>
    <row r="15" spans="1:17" x14ac:dyDescent="0.2">
      <c r="B15" s="53" t="s">
        <v>209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60"/>
    </row>
    <row r="16" spans="1:17" x14ac:dyDescent="0.2">
      <c r="B16" s="54" t="s">
        <v>209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61"/>
    </row>
    <row r="20" spans="1:18" x14ac:dyDescent="0.2">
      <c r="A20" s="6" t="s">
        <v>180</v>
      </c>
      <c r="B20" s="6" t="s">
        <v>184</v>
      </c>
    </row>
    <row r="21" spans="1:18" x14ac:dyDescent="0.2">
      <c r="B21" s="9" t="s">
        <v>13</v>
      </c>
      <c r="C21" s="126">
        <v>2017</v>
      </c>
      <c r="D21" s="126">
        <v>2018</v>
      </c>
      <c r="E21" s="126">
        <v>2019</v>
      </c>
      <c r="F21" s="126">
        <v>2020</v>
      </c>
      <c r="G21" s="126">
        <v>2021</v>
      </c>
      <c r="H21" s="126">
        <v>2022</v>
      </c>
      <c r="I21" s="126">
        <v>2023</v>
      </c>
      <c r="J21" s="126">
        <v>2024</v>
      </c>
      <c r="K21" s="126">
        <v>2025</v>
      </c>
      <c r="L21" s="126">
        <v>2026</v>
      </c>
      <c r="M21" s="126">
        <v>2027</v>
      </c>
      <c r="N21" s="126">
        <v>2028</v>
      </c>
      <c r="O21" s="126">
        <v>2029</v>
      </c>
      <c r="P21" s="126">
        <v>2030</v>
      </c>
      <c r="Q21" s="127">
        <v>2031</v>
      </c>
    </row>
    <row r="22" spans="1:18" x14ac:dyDescent="0.2">
      <c r="B22" s="44" t="s">
        <v>185</v>
      </c>
      <c r="C22" s="45">
        <f>'Analiza finansowa'!C450</f>
        <v>-413495</v>
      </c>
      <c r="D22" s="45">
        <f>'Analiza finansowa'!D450</f>
        <v>-3149255</v>
      </c>
      <c r="E22" s="45">
        <f>'Analiza finansowa'!E450</f>
        <v>-4657255</v>
      </c>
      <c r="F22" s="45">
        <f>'Analiza finansowa'!F450</f>
        <v>-72000</v>
      </c>
      <c r="G22" s="45">
        <f>'Analiza finansowa'!G450</f>
        <v>-72000</v>
      </c>
      <c r="H22" s="45">
        <f>'Analiza finansowa'!H450</f>
        <v>-72000</v>
      </c>
      <c r="I22" s="45">
        <f>'Analiza finansowa'!I450</f>
        <v>-72000</v>
      </c>
      <c r="J22" s="45">
        <f>'Analiza finansowa'!J450</f>
        <v>-81868.5</v>
      </c>
      <c r="K22" s="45">
        <f>'Analiza finansowa'!K450</f>
        <v>-72000</v>
      </c>
      <c r="L22" s="45">
        <f>'Analiza finansowa'!L450</f>
        <v>-72000</v>
      </c>
      <c r="M22" s="45">
        <f>'Analiza finansowa'!M450</f>
        <v>-72000.000000000029</v>
      </c>
      <c r="N22" s="45">
        <f>'Analiza finansowa'!N450</f>
        <v>-72000.000000000029</v>
      </c>
      <c r="O22" s="45">
        <f>'Analiza finansowa'!O450</f>
        <v>-81868.500000000029</v>
      </c>
      <c r="P22" s="45">
        <f>'Analiza finansowa'!P450</f>
        <v>-72000.000000000029</v>
      </c>
      <c r="Q22" s="45">
        <f>'Analiza finansowa'!Q450</f>
        <v>-72000.000000000029</v>
      </c>
    </row>
    <row r="23" spans="1:18" x14ac:dyDescent="0.2">
      <c r="B23" s="44" t="s">
        <v>186</v>
      </c>
      <c r="C23" s="45">
        <f t="shared" ref="C23:Q23" si="3">SUM(C24:C27)</f>
        <v>0</v>
      </c>
      <c r="D23" s="45">
        <f t="shared" si="3"/>
        <v>0</v>
      </c>
      <c r="E23" s="45">
        <f t="shared" si="3"/>
        <v>0</v>
      </c>
      <c r="F23" s="45">
        <f t="shared" si="3"/>
        <v>0</v>
      </c>
      <c r="G23" s="45">
        <f t="shared" si="3"/>
        <v>0</v>
      </c>
      <c r="H23" s="45">
        <f t="shared" si="3"/>
        <v>0</v>
      </c>
      <c r="I23" s="45">
        <f t="shared" si="3"/>
        <v>0</v>
      </c>
      <c r="J23" s="45">
        <f t="shared" si="3"/>
        <v>0</v>
      </c>
      <c r="K23" s="45">
        <f t="shared" si="3"/>
        <v>0</v>
      </c>
      <c r="L23" s="45">
        <f t="shared" si="3"/>
        <v>0</v>
      </c>
      <c r="M23" s="45">
        <f t="shared" si="3"/>
        <v>0</v>
      </c>
      <c r="N23" s="45">
        <f t="shared" si="3"/>
        <v>0</v>
      </c>
      <c r="O23" s="45">
        <f t="shared" si="3"/>
        <v>0</v>
      </c>
      <c r="P23" s="45">
        <f t="shared" si="3"/>
        <v>0</v>
      </c>
      <c r="Q23" s="43">
        <f t="shared" si="3"/>
        <v>0</v>
      </c>
    </row>
    <row r="24" spans="1:18" x14ac:dyDescent="0.2">
      <c r="B24" s="113" t="s">
        <v>187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60"/>
    </row>
    <row r="25" spans="1:18" x14ac:dyDescent="0.2">
      <c r="B25" s="113" t="s">
        <v>221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60"/>
    </row>
    <row r="26" spans="1:18" x14ac:dyDescent="0.2">
      <c r="B26" s="113" t="s">
        <v>221</v>
      </c>
      <c r="C26" s="46"/>
      <c r="D26" s="4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60"/>
    </row>
    <row r="27" spans="1:18" x14ac:dyDescent="0.2">
      <c r="B27" s="113" t="s">
        <v>221</v>
      </c>
      <c r="C27" s="46"/>
      <c r="D27" s="4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60"/>
    </row>
    <row r="28" spans="1:18" x14ac:dyDescent="0.2">
      <c r="B28" s="44" t="s">
        <v>188</v>
      </c>
      <c r="C28" s="45">
        <f>C22-C23</f>
        <v>-413495</v>
      </c>
      <c r="D28" s="45">
        <f t="shared" ref="D28:Q28" si="4">D22-D23</f>
        <v>-3149255</v>
      </c>
      <c r="E28" s="45">
        <f t="shared" si="4"/>
        <v>-4657255</v>
      </c>
      <c r="F28" s="45">
        <f t="shared" si="4"/>
        <v>-72000</v>
      </c>
      <c r="G28" s="45">
        <f t="shared" si="4"/>
        <v>-72000</v>
      </c>
      <c r="H28" s="45">
        <f t="shared" si="4"/>
        <v>-72000</v>
      </c>
      <c r="I28" s="45">
        <f t="shared" si="4"/>
        <v>-72000</v>
      </c>
      <c r="J28" s="45">
        <f t="shared" si="4"/>
        <v>-81868.5</v>
      </c>
      <c r="K28" s="45">
        <f t="shared" si="4"/>
        <v>-72000</v>
      </c>
      <c r="L28" s="45">
        <f t="shared" si="4"/>
        <v>-72000</v>
      </c>
      <c r="M28" s="45">
        <f t="shared" si="4"/>
        <v>-72000.000000000029</v>
      </c>
      <c r="N28" s="45">
        <f t="shared" si="4"/>
        <v>-72000.000000000029</v>
      </c>
      <c r="O28" s="45">
        <f t="shared" si="4"/>
        <v>-81868.500000000029</v>
      </c>
      <c r="P28" s="45">
        <f t="shared" si="4"/>
        <v>-72000.000000000029</v>
      </c>
      <c r="Q28" s="43">
        <f t="shared" si="4"/>
        <v>-72000.000000000029</v>
      </c>
    </row>
    <row r="29" spans="1:18" x14ac:dyDescent="0.2">
      <c r="B29" s="44" t="s">
        <v>189</v>
      </c>
      <c r="C29" s="13">
        <f>SUM(C30:C32)</f>
        <v>0</v>
      </c>
      <c r="D29" s="13">
        <f t="shared" ref="D29:Q29" si="5">SUM(D30:D32)</f>
        <v>0</v>
      </c>
      <c r="E29" s="13">
        <f t="shared" si="5"/>
        <v>4800</v>
      </c>
      <c r="F29" s="13">
        <f t="shared" si="5"/>
        <v>4800</v>
      </c>
      <c r="G29" s="13">
        <f t="shared" si="5"/>
        <v>4800</v>
      </c>
      <c r="H29" s="13">
        <f t="shared" si="5"/>
        <v>4800</v>
      </c>
      <c r="I29" s="13">
        <f t="shared" si="5"/>
        <v>4800</v>
      </c>
      <c r="J29" s="13">
        <f t="shared" si="5"/>
        <v>4800</v>
      </c>
      <c r="K29" s="13">
        <f t="shared" si="5"/>
        <v>4800</v>
      </c>
      <c r="L29" s="13">
        <f t="shared" si="5"/>
        <v>4800</v>
      </c>
      <c r="M29" s="13">
        <f t="shared" si="5"/>
        <v>4800</v>
      </c>
      <c r="N29" s="13">
        <f t="shared" si="5"/>
        <v>4800</v>
      </c>
      <c r="O29" s="13">
        <f t="shared" si="5"/>
        <v>4800</v>
      </c>
      <c r="P29" s="13">
        <f t="shared" si="5"/>
        <v>4800</v>
      </c>
      <c r="Q29" s="13">
        <f t="shared" si="5"/>
        <v>4800</v>
      </c>
    </row>
    <row r="30" spans="1:18" x14ac:dyDescent="0.2">
      <c r="B30" s="41" t="str">
        <f>B14</f>
        <v xml:space="preserve"> -</v>
      </c>
      <c r="C30" s="42">
        <f>C14</f>
        <v>0</v>
      </c>
      <c r="D30" s="42">
        <f>D14</f>
        <v>0</v>
      </c>
      <c r="E30" s="42">
        <f>E14</f>
        <v>4800</v>
      </c>
      <c r="F30" s="42">
        <f>F14</f>
        <v>4800</v>
      </c>
      <c r="G30" s="42">
        <f>G14</f>
        <v>4800</v>
      </c>
      <c r="H30" s="42">
        <f>H14</f>
        <v>4800</v>
      </c>
      <c r="I30" s="42">
        <f>I14</f>
        <v>4800</v>
      </c>
      <c r="J30" s="42">
        <f>J14</f>
        <v>4800</v>
      </c>
      <c r="K30" s="42">
        <f>K14</f>
        <v>4800</v>
      </c>
      <c r="L30" s="42">
        <f>L14</f>
        <v>4800</v>
      </c>
      <c r="M30" s="42">
        <f>M14</f>
        <v>4800</v>
      </c>
      <c r="N30" s="42">
        <f>N14</f>
        <v>4800</v>
      </c>
      <c r="O30" s="42">
        <f>O14</f>
        <v>4800</v>
      </c>
      <c r="P30" s="42">
        <f>P14</f>
        <v>4800</v>
      </c>
      <c r="Q30" s="42">
        <f>Q14</f>
        <v>4800</v>
      </c>
      <c r="R30" s="42">
        <f>R14</f>
        <v>0</v>
      </c>
    </row>
    <row r="31" spans="1:18" x14ac:dyDescent="0.2">
      <c r="B31" s="41" t="str">
        <f>B15</f>
        <v xml:space="preserve"> -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60"/>
    </row>
    <row r="32" spans="1:18" x14ac:dyDescent="0.2">
      <c r="B32" s="41" t="str">
        <f>B16</f>
        <v xml:space="preserve"> -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60"/>
    </row>
    <row r="33" spans="2:17" x14ac:dyDescent="0.2">
      <c r="B33" s="44" t="s">
        <v>190</v>
      </c>
      <c r="C33" s="13">
        <f>SUM(C34:C36)</f>
        <v>0</v>
      </c>
      <c r="D33" s="13">
        <f t="shared" ref="D33" si="6">SUM(D34:D36)</f>
        <v>0</v>
      </c>
      <c r="E33" s="13">
        <f t="shared" ref="E33" si="7">SUM(E34:E36)</f>
        <v>1125000</v>
      </c>
      <c r="F33" s="13">
        <f t="shared" ref="F33" si="8">SUM(F34:F36)</f>
        <v>1125000</v>
      </c>
      <c r="G33" s="13">
        <f t="shared" ref="G33" si="9">SUM(G34:G36)</f>
        <v>1125000</v>
      </c>
      <c r="H33" s="13">
        <f t="shared" ref="H33" si="10">SUM(H34:H36)</f>
        <v>1125000</v>
      </c>
      <c r="I33" s="13">
        <f t="shared" ref="I33" si="11">SUM(I34:I36)</f>
        <v>1125000</v>
      </c>
      <c r="J33" s="13">
        <f t="shared" ref="J33" si="12">SUM(J34:J36)</f>
        <v>1125000</v>
      </c>
      <c r="K33" s="13">
        <f t="shared" ref="K33" si="13">SUM(K34:K36)</f>
        <v>1125000</v>
      </c>
      <c r="L33" s="13">
        <f t="shared" ref="L33" si="14">SUM(L34:L36)</f>
        <v>1125000</v>
      </c>
      <c r="M33" s="13">
        <f t="shared" ref="M33" si="15">SUM(M34:M36)</f>
        <v>1125000</v>
      </c>
      <c r="N33" s="13">
        <f t="shared" ref="N33" si="16">SUM(N34:N36)</f>
        <v>1125000</v>
      </c>
      <c r="O33" s="13">
        <f t="shared" ref="O33" si="17">SUM(O34:O36)</f>
        <v>1125000</v>
      </c>
      <c r="P33" s="13">
        <f t="shared" ref="P33" si="18">SUM(P34:P36)</f>
        <v>1125000</v>
      </c>
      <c r="Q33" s="13">
        <f t="shared" ref="Q33" si="19">SUM(Q34:Q36)</f>
        <v>1125000</v>
      </c>
    </row>
    <row r="34" spans="2:17" x14ac:dyDescent="0.2">
      <c r="B34" s="41" t="str">
        <f>B6</f>
        <v xml:space="preserve"> -</v>
      </c>
      <c r="C34" s="42">
        <f>C6</f>
        <v>0</v>
      </c>
      <c r="D34" s="42">
        <f t="shared" ref="D34:Q34" si="20">D6</f>
        <v>0</v>
      </c>
      <c r="E34" s="42">
        <f t="shared" si="20"/>
        <v>880000</v>
      </c>
      <c r="F34" s="42">
        <f t="shared" si="20"/>
        <v>880000</v>
      </c>
      <c r="G34" s="42">
        <f t="shared" si="20"/>
        <v>880000</v>
      </c>
      <c r="H34" s="42">
        <f t="shared" si="20"/>
        <v>880000</v>
      </c>
      <c r="I34" s="42">
        <f t="shared" si="20"/>
        <v>880000</v>
      </c>
      <c r="J34" s="42">
        <f t="shared" si="20"/>
        <v>880000</v>
      </c>
      <c r="K34" s="42">
        <f t="shared" si="20"/>
        <v>880000</v>
      </c>
      <c r="L34" s="42">
        <f t="shared" si="20"/>
        <v>880000</v>
      </c>
      <c r="M34" s="42">
        <f t="shared" si="20"/>
        <v>880000</v>
      </c>
      <c r="N34" s="42">
        <f t="shared" si="20"/>
        <v>880000</v>
      </c>
      <c r="O34" s="42">
        <f t="shared" si="20"/>
        <v>880000</v>
      </c>
      <c r="P34" s="42">
        <f t="shared" si="20"/>
        <v>880000</v>
      </c>
      <c r="Q34" s="42">
        <f t="shared" si="20"/>
        <v>880000</v>
      </c>
    </row>
    <row r="35" spans="2:17" x14ac:dyDescent="0.2">
      <c r="B35" s="41" t="str">
        <f>B7</f>
        <v xml:space="preserve"> -</v>
      </c>
      <c r="C35" s="42">
        <f>C7</f>
        <v>0</v>
      </c>
      <c r="D35" s="42">
        <f t="shared" ref="D35:Q35" si="21">D7</f>
        <v>0</v>
      </c>
      <c r="E35" s="42">
        <f t="shared" si="21"/>
        <v>245000</v>
      </c>
      <c r="F35" s="42">
        <f t="shared" si="21"/>
        <v>245000</v>
      </c>
      <c r="G35" s="42">
        <f t="shared" si="21"/>
        <v>245000</v>
      </c>
      <c r="H35" s="42">
        <f t="shared" si="21"/>
        <v>245000</v>
      </c>
      <c r="I35" s="42">
        <f t="shared" si="21"/>
        <v>245000</v>
      </c>
      <c r="J35" s="42">
        <f t="shared" si="21"/>
        <v>245000</v>
      </c>
      <c r="K35" s="42">
        <f t="shared" si="21"/>
        <v>245000</v>
      </c>
      <c r="L35" s="42">
        <f t="shared" si="21"/>
        <v>245000</v>
      </c>
      <c r="M35" s="42">
        <f t="shared" si="21"/>
        <v>245000</v>
      </c>
      <c r="N35" s="42">
        <f t="shared" si="21"/>
        <v>245000</v>
      </c>
      <c r="O35" s="42">
        <f t="shared" si="21"/>
        <v>245000</v>
      </c>
      <c r="P35" s="42">
        <f t="shared" si="21"/>
        <v>245000</v>
      </c>
      <c r="Q35" s="42">
        <f t="shared" si="21"/>
        <v>245000</v>
      </c>
    </row>
    <row r="36" spans="2:17" x14ac:dyDescent="0.2">
      <c r="B36" s="41" t="str">
        <f>B8</f>
        <v xml:space="preserve"> -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60"/>
    </row>
    <row r="37" spans="2:17" x14ac:dyDescent="0.2">
      <c r="B37" s="44" t="s">
        <v>87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2:17" x14ac:dyDescent="0.2">
      <c r="B38" s="44" t="s">
        <v>191</v>
      </c>
      <c r="C38" s="45">
        <f>C28-C29+C33</f>
        <v>-413495</v>
      </c>
      <c r="D38" s="45">
        <f t="shared" ref="D38:Q38" si="22">D28-D29+D33</f>
        <v>-3149255</v>
      </c>
      <c r="E38" s="45">
        <f t="shared" si="22"/>
        <v>-3537055</v>
      </c>
      <c r="F38" s="45">
        <f t="shared" si="22"/>
        <v>1048200</v>
      </c>
      <c r="G38" s="45">
        <f t="shared" si="22"/>
        <v>1048200</v>
      </c>
      <c r="H38" s="45">
        <f t="shared" si="22"/>
        <v>1048200</v>
      </c>
      <c r="I38" s="45">
        <f t="shared" si="22"/>
        <v>1048200</v>
      </c>
      <c r="J38" s="45">
        <f t="shared" si="22"/>
        <v>1038331.5</v>
      </c>
      <c r="K38" s="45">
        <f t="shared" si="22"/>
        <v>1048200</v>
      </c>
      <c r="L38" s="45">
        <f t="shared" si="22"/>
        <v>1048200</v>
      </c>
      <c r="M38" s="45">
        <f t="shared" si="22"/>
        <v>1048200</v>
      </c>
      <c r="N38" s="45">
        <f t="shared" si="22"/>
        <v>1048200</v>
      </c>
      <c r="O38" s="45">
        <f t="shared" si="22"/>
        <v>1038331.5</v>
      </c>
      <c r="P38" s="45">
        <f t="shared" si="22"/>
        <v>1048200</v>
      </c>
      <c r="Q38" s="45">
        <f t="shared" si="22"/>
        <v>1048200</v>
      </c>
    </row>
    <row r="39" spans="2:17" x14ac:dyDescent="0.2">
      <c r="B39" s="44" t="s">
        <v>192</v>
      </c>
      <c r="C39" s="45">
        <f>NPV(sd_ae,D38:Q38)+C38</f>
        <v>1793214.282910909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</row>
    <row r="40" spans="2:17" x14ac:dyDescent="0.2">
      <c r="B40" s="44" t="s">
        <v>193</v>
      </c>
      <c r="C40" s="110">
        <f>IRR(C38:Q38)</f>
        <v>9.0822422383661561E-2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spans="2:17" x14ac:dyDescent="0.2">
      <c r="B41" s="86" t="s">
        <v>194</v>
      </c>
      <c r="C41" s="114">
        <f>(NPV(5%,D33:Q33)+C33)/(NPV(5%,D29:Q29)+C29)</f>
        <v>234.37500000000006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4" spans="2:17" x14ac:dyDescent="0.2">
      <c r="I44">
        <f>am_wnip</f>
        <v>0.33</v>
      </c>
    </row>
    <row r="45" spans="2:17" x14ac:dyDescent="0.2">
      <c r="I45">
        <f>am_wnip</f>
        <v>0.33</v>
      </c>
    </row>
  </sheetData>
  <conditionalFormatting sqref="C28:Q2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8"/>
  <sheetViews>
    <sheetView tabSelected="1" topLeftCell="A6" zoomScale="235" zoomScaleNormal="235" workbookViewId="0">
      <selection activeCell="G25" sqref="G25"/>
    </sheetView>
  </sheetViews>
  <sheetFormatPr defaultRowHeight="12" x14ac:dyDescent="0.2"/>
  <cols>
    <col min="2" max="2" width="24.5" bestFit="1" customWidth="1"/>
    <col min="3" max="3" width="13.83203125" customWidth="1"/>
    <col min="4" max="4" width="14.5" customWidth="1"/>
    <col min="5" max="5" width="11.5" customWidth="1"/>
  </cols>
  <sheetData>
    <row r="4" spans="1:5" x14ac:dyDescent="0.2">
      <c r="A4" s="6" t="s">
        <v>181</v>
      </c>
      <c r="B4" s="6" t="s">
        <v>203</v>
      </c>
    </row>
    <row r="5" spans="1:5" ht="22.5" x14ac:dyDescent="0.2">
      <c r="B5" s="136" t="s">
        <v>196</v>
      </c>
      <c r="C5" s="80" t="s">
        <v>0</v>
      </c>
      <c r="D5" s="80" t="s">
        <v>195</v>
      </c>
      <c r="E5" s="81" t="s">
        <v>142</v>
      </c>
    </row>
    <row r="6" spans="1:5" x14ac:dyDescent="0.2">
      <c r="B6" s="137"/>
      <c r="C6" s="116"/>
      <c r="D6" s="116"/>
      <c r="E6" s="117"/>
    </row>
    <row r="7" spans="1:5" x14ac:dyDescent="0.2">
      <c r="B7" s="115" t="s">
        <v>200</v>
      </c>
      <c r="C7" s="105"/>
      <c r="D7" s="71"/>
      <c r="E7" s="72"/>
    </row>
    <row r="8" spans="1:5" x14ac:dyDescent="0.2">
      <c r="B8" s="1"/>
    </row>
    <row r="9" spans="1:5" x14ac:dyDescent="0.2">
      <c r="B9" s="138" t="s">
        <v>204</v>
      </c>
      <c r="C9" s="139"/>
      <c r="D9" s="139"/>
      <c r="E9" s="140"/>
    </row>
    <row r="10" spans="1:5" x14ac:dyDescent="0.2">
      <c r="B10" s="44" t="s">
        <v>0</v>
      </c>
      <c r="C10" s="93" t="s">
        <v>200</v>
      </c>
      <c r="D10" s="93" t="s">
        <v>202</v>
      </c>
      <c r="E10" s="121" t="s">
        <v>205</v>
      </c>
    </row>
    <row r="11" spans="1:5" x14ac:dyDescent="0.2">
      <c r="B11" s="118" t="s">
        <v>197</v>
      </c>
      <c r="C11" s="42">
        <v>-9903627.009808613</v>
      </c>
      <c r="D11" s="48">
        <f>(C11-$C$12)/$C$12</f>
        <v>0.18098164471483419</v>
      </c>
      <c r="E11" s="47"/>
    </row>
    <row r="12" spans="1:5" x14ac:dyDescent="0.2">
      <c r="B12" s="118" t="s">
        <v>198</v>
      </c>
      <c r="C12" s="42">
        <v>-8385927.9728263626</v>
      </c>
      <c r="D12" s="120"/>
      <c r="E12" s="122"/>
    </row>
    <row r="13" spans="1:5" x14ac:dyDescent="0.2">
      <c r="B13" s="118" t="s">
        <v>199</v>
      </c>
      <c r="C13" s="42">
        <v>-6868228.9358441131</v>
      </c>
      <c r="D13" s="48">
        <f>(C13-$C$12)/$C$12</f>
        <v>-0.18098164471483408</v>
      </c>
      <c r="E13" s="47"/>
    </row>
    <row r="14" spans="1:5" x14ac:dyDescent="0.2">
      <c r="B14" s="44" t="s">
        <v>195</v>
      </c>
      <c r="C14" s="93" t="s">
        <v>200</v>
      </c>
      <c r="D14" s="93" t="s">
        <v>202</v>
      </c>
      <c r="E14" s="47"/>
    </row>
    <row r="15" spans="1:5" x14ac:dyDescent="0.2">
      <c r="B15" s="118" t="s">
        <v>197</v>
      </c>
      <c r="C15" s="42">
        <v>-8812238.3232018501</v>
      </c>
      <c r="D15" s="48">
        <f>(C15-$C$16)/$C$16</f>
        <v>5.0836395418240803E-2</v>
      </c>
      <c r="E15" s="47"/>
    </row>
    <row r="16" spans="1:5" x14ac:dyDescent="0.2">
      <c r="B16" s="118" t="s">
        <v>198</v>
      </c>
      <c r="C16" s="42">
        <v>-8385927.9728263626</v>
      </c>
      <c r="D16" s="120"/>
      <c r="E16" s="122"/>
    </row>
    <row r="17" spans="1:5" x14ac:dyDescent="0.2">
      <c r="B17" s="118" t="s">
        <v>199</v>
      </c>
      <c r="C17" s="42">
        <v>-7959617.6224508733</v>
      </c>
      <c r="D17" s="48">
        <f>(C17-$C$16)/$C$16</f>
        <v>-5.0836395418241025E-2</v>
      </c>
      <c r="E17" s="47"/>
    </row>
    <row r="18" spans="1:5" x14ac:dyDescent="0.2">
      <c r="B18" s="44" t="s">
        <v>142</v>
      </c>
      <c r="C18" s="93" t="s">
        <v>200</v>
      </c>
      <c r="D18" s="93" t="s">
        <v>202</v>
      </c>
      <c r="E18" s="47"/>
    </row>
    <row r="19" spans="1:5" x14ac:dyDescent="0.2">
      <c r="B19" s="118" t="s">
        <v>197</v>
      </c>
      <c r="C19" s="42">
        <v>-8116371.5630492251</v>
      </c>
      <c r="D19" s="48">
        <f>(C19-$C$20)/$C$20</f>
        <v>-3.2143897568713213E-2</v>
      </c>
      <c r="E19" s="47"/>
    </row>
    <row r="20" spans="1:5" x14ac:dyDescent="0.2">
      <c r="B20" s="118" t="s">
        <v>198</v>
      </c>
      <c r="C20" s="42">
        <v>-8385927.9728263626</v>
      </c>
      <c r="D20" s="120"/>
      <c r="E20" s="122"/>
    </row>
    <row r="21" spans="1:5" x14ac:dyDescent="0.2">
      <c r="B21" s="119" t="s">
        <v>199</v>
      </c>
      <c r="C21" s="73">
        <v>-8655484.3826035</v>
      </c>
      <c r="D21" s="48">
        <f>(C21-$C$20)/$C$20</f>
        <v>3.2143897568713213E-2</v>
      </c>
      <c r="E21" s="72"/>
    </row>
    <row r="25" spans="1:5" x14ac:dyDescent="0.2">
      <c r="A25" s="6" t="s">
        <v>182</v>
      </c>
      <c r="B25" s="6" t="s">
        <v>206</v>
      </c>
    </row>
    <row r="26" spans="1:5" ht="22.5" x14ac:dyDescent="0.2">
      <c r="B26" s="136" t="s">
        <v>196</v>
      </c>
      <c r="C26" s="80" t="s">
        <v>207</v>
      </c>
      <c r="D26" s="81" t="s">
        <v>208</v>
      </c>
    </row>
    <row r="27" spans="1:5" x14ac:dyDescent="0.2">
      <c r="B27" s="137"/>
      <c r="C27" s="116"/>
      <c r="D27" s="117"/>
    </row>
    <row r="28" spans="1:5" x14ac:dyDescent="0.2">
      <c r="B28" s="115" t="s">
        <v>201</v>
      </c>
      <c r="C28" s="123"/>
      <c r="D28" s="72"/>
    </row>
    <row r="29" spans="1:5" x14ac:dyDescent="0.2">
      <c r="B29" s="1"/>
    </row>
    <row r="30" spans="1:5" x14ac:dyDescent="0.2">
      <c r="B30" s="138" t="s">
        <v>204</v>
      </c>
      <c r="C30" s="139"/>
      <c r="D30" s="139"/>
      <c r="E30" s="140"/>
    </row>
    <row r="31" spans="1:5" x14ac:dyDescent="0.2">
      <c r="B31" s="44" t="s">
        <v>190</v>
      </c>
      <c r="C31" s="93" t="s">
        <v>201</v>
      </c>
      <c r="D31" s="93" t="s">
        <v>202</v>
      </c>
      <c r="E31" s="121" t="s">
        <v>205</v>
      </c>
    </row>
    <row r="32" spans="1:5" x14ac:dyDescent="0.2">
      <c r="B32" s="118" t="s">
        <v>197</v>
      </c>
      <c r="C32" s="42">
        <v>3795387.2681601103</v>
      </c>
      <c r="D32" s="48">
        <f>(C32-$C$33)/$C$33</f>
        <v>1.1292748783701505</v>
      </c>
      <c r="E32" s="47"/>
    </row>
    <row r="33" spans="2:5" x14ac:dyDescent="0.2">
      <c r="B33" s="118" t="s">
        <v>198</v>
      </c>
      <c r="C33" s="42">
        <v>1782478.7709256602</v>
      </c>
      <c r="D33" s="120"/>
      <c r="E33" s="122"/>
    </row>
    <row r="34" spans="2:5" x14ac:dyDescent="0.2">
      <c r="B34" s="118" t="s">
        <v>199</v>
      </c>
      <c r="C34" s="42">
        <v>-230429.72630878957</v>
      </c>
      <c r="D34" s="48">
        <f>(C34-$C$33)/$C$33</f>
        <v>-1.1292748783701503</v>
      </c>
      <c r="E34" s="47"/>
    </row>
    <row r="35" spans="2:5" x14ac:dyDescent="0.2">
      <c r="B35" s="44" t="s">
        <v>189</v>
      </c>
      <c r="C35" s="93" t="s">
        <v>201</v>
      </c>
      <c r="D35" s="93" t="s">
        <v>202</v>
      </c>
      <c r="E35" s="47"/>
    </row>
    <row r="36" spans="2:5" x14ac:dyDescent="0.2">
      <c r="B36" s="118" t="s">
        <v>197</v>
      </c>
      <c r="C36" s="42">
        <v>1771743.2589404089</v>
      </c>
      <c r="D36" s="48">
        <f>(C36-$C$37)/$C$37</f>
        <v>-6.0227993513079251E-3</v>
      </c>
      <c r="E36" s="47"/>
    </row>
    <row r="37" spans="2:5" x14ac:dyDescent="0.2">
      <c r="B37" s="118" t="s">
        <v>198</v>
      </c>
      <c r="C37" s="42">
        <v>1782478.7709256602</v>
      </c>
      <c r="D37" s="120"/>
      <c r="E37" s="122"/>
    </row>
    <row r="38" spans="2:5" x14ac:dyDescent="0.2">
      <c r="B38" s="119" t="s">
        <v>199</v>
      </c>
      <c r="C38" s="73">
        <v>1793214.282910909</v>
      </c>
      <c r="D38" s="51">
        <f>(C38-$C$37)/$C$37</f>
        <v>6.0227993513066189E-3</v>
      </c>
      <c r="E38" s="72"/>
    </row>
  </sheetData>
  <mergeCells count="4">
    <mergeCell ref="B5:B6"/>
    <mergeCell ref="B9:E9"/>
    <mergeCell ref="B26:B27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Analiza finansowa</vt:lpstr>
      <vt:lpstr>Analiza ekonomiczna</vt:lpstr>
      <vt:lpstr>Analiza wrażliwości</vt:lpstr>
      <vt:lpstr>am_u1</vt:lpstr>
      <vt:lpstr>am_u2</vt:lpstr>
      <vt:lpstr>am_wnip</vt:lpstr>
      <vt:lpstr>amortyzacja</vt:lpstr>
      <vt:lpstr>sd_ae</vt:lpstr>
      <vt:lpstr>sd_af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2016-08-22T21:55:50Z</dcterms:created>
  <dcterms:modified xsi:type="dcterms:W3CDTF">2017-06-23T12:34:52Z</dcterms:modified>
</cp:coreProperties>
</file>